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drawings/drawing4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ciorg-my.sharepoint.com/personal/ari_sobelman_apci_org/Documents/"/>
    </mc:Choice>
  </mc:AlternateContent>
  <xr:revisionPtr revIDLastSave="15" documentId="8_{7CD086C2-B2F1-4EA7-B06A-2AB526F53914}" xr6:coauthVersionLast="47" xr6:coauthVersionMax="47" xr10:uidLastSave="{1A0D7E7A-2598-4B3A-A7BD-8D6242C72158}"/>
  <bookViews>
    <workbookView xWindow="1350" yWindow="690" windowWidth="25965" windowHeight="14370" xr2:uid="{0B99AF96-AF15-42C3-A255-CF039BEB08C4}"/>
  </bookViews>
  <sheets>
    <sheet name="PurePremiumTrends" sheetId="1" r:id="rId1"/>
    <sheet name="PurePremiumData" sheetId="2" r:id="rId2"/>
    <sheet name="LossRatioData" sheetId="5" r:id="rId3"/>
    <sheet name="Graphs" sheetId="4" r:id="rId4"/>
    <sheet name="InputData" sheetId="6" r:id="rId5"/>
    <sheet name="Sheet5" sheetId="3" state="hidden" r:id="rId6"/>
  </sheets>
  <definedNames>
    <definedName name="_F0910108">InputData!$A$3:$G$65</definedName>
    <definedName name="_F0910110">InputData!$A$69:$G$131</definedName>
    <definedName name="_F0910120">InputData!$A$135:$G$197</definedName>
    <definedName name="_F0919901">InputData!$A$201:$I$263</definedName>
    <definedName name="_F0919904">InputData!$A$267:$I$329</definedName>
    <definedName name="_F0919910">InputData!$A$333:$I$395</definedName>
    <definedName name="_F0919920">InputData!$A$399:$I$461</definedName>
    <definedName name="_F0919979">InputData!$A$465:$I$485</definedName>
    <definedName name="_F0919981">InputData!$A$489:$I$509</definedName>
    <definedName name="_PPI1">PurePremiumTrends!$Z$6</definedName>
    <definedName name="PIP">Sheet5!$K$1</definedName>
    <definedName name="PPI">Sheet5!$K$2</definedName>
    <definedName name="State">PurePremiumTrends!$D$1</definedName>
    <definedName name="State2">PurePremiumData!$A$1</definedName>
    <definedName name="State3">LossRatioData!$A$1</definedName>
    <definedName name="State4">Graphs!$A$1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5" l="1"/>
  <c r="H113" i="5" s="1"/>
  <c r="H86" i="5"/>
  <c r="H87" i="5"/>
  <c r="H88" i="5"/>
  <c r="L88" i="5" s="1"/>
  <c r="J85" i="5"/>
  <c r="J86" i="5"/>
  <c r="J87" i="5"/>
  <c r="J113" i="5" s="1"/>
  <c r="J88" i="5"/>
  <c r="B85" i="5"/>
  <c r="B86" i="5"/>
  <c r="B113" i="5" s="1"/>
  <c r="B87" i="5"/>
  <c r="F87" i="5" s="1"/>
  <c r="B88" i="5"/>
  <c r="D85" i="5"/>
  <c r="D86" i="5"/>
  <c r="D113" i="5" s="1"/>
  <c r="D87" i="5"/>
  <c r="D88" i="5"/>
  <c r="F88" i="5" s="1"/>
  <c r="H84" i="5"/>
  <c r="H112" i="5" s="1"/>
  <c r="J84" i="5"/>
  <c r="J112" i="5" s="1"/>
  <c r="B84" i="5"/>
  <c r="B112" i="5" s="1"/>
  <c r="F112" i="5" s="1"/>
  <c r="D84" i="5"/>
  <c r="D112" i="5" s="1"/>
  <c r="H83" i="5"/>
  <c r="H111" i="5"/>
  <c r="J83" i="5"/>
  <c r="J111" i="5" s="1"/>
  <c r="B83" i="5"/>
  <c r="B111" i="5"/>
  <c r="D83" i="5"/>
  <c r="D111" i="5" s="1"/>
  <c r="F111" i="5" s="1"/>
  <c r="H82" i="5"/>
  <c r="H110" i="5" s="1"/>
  <c r="L110" i="5" s="1"/>
  <c r="J82" i="5"/>
  <c r="J110" i="5"/>
  <c r="B82" i="5"/>
  <c r="D82" i="5"/>
  <c r="D110" i="5" s="1"/>
  <c r="H81" i="5"/>
  <c r="H109" i="5" s="1"/>
  <c r="J81" i="5"/>
  <c r="J107" i="5" s="1"/>
  <c r="J109" i="5"/>
  <c r="B81" i="5"/>
  <c r="D81" i="5"/>
  <c r="D109" i="5" s="1"/>
  <c r="H80" i="5"/>
  <c r="H108" i="5"/>
  <c r="J80" i="5"/>
  <c r="J108" i="5" s="1"/>
  <c r="L108" i="5" s="1"/>
  <c r="B80" i="5"/>
  <c r="D80" i="5"/>
  <c r="D108" i="5"/>
  <c r="H79" i="5"/>
  <c r="J79" i="5"/>
  <c r="B79" i="5"/>
  <c r="B107" i="5" s="1"/>
  <c r="F107" i="5" s="1"/>
  <c r="D79" i="5"/>
  <c r="F79" i="5" s="1"/>
  <c r="D107" i="5"/>
  <c r="H78" i="5"/>
  <c r="J78" i="5"/>
  <c r="J106" i="5" s="1"/>
  <c r="B78" i="5"/>
  <c r="B106" i="5"/>
  <c r="D78" i="5"/>
  <c r="D105" i="5" s="1"/>
  <c r="H77" i="5"/>
  <c r="J77" i="5"/>
  <c r="J105" i="5"/>
  <c r="B77" i="5"/>
  <c r="F77" i="5" s="1"/>
  <c r="B105" i="5"/>
  <c r="D77" i="5"/>
  <c r="H76" i="5"/>
  <c r="H104" i="5" s="1"/>
  <c r="L104" i="5" s="1"/>
  <c r="J76" i="5"/>
  <c r="L76" i="5" s="1"/>
  <c r="J104" i="5"/>
  <c r="B76" i="5"/>
  <c r="B103" i="5" s="1"/>
  <c r="D76" i="5"/>
  <c r="D104" i="5" s="1"/>
  <c r="H75" i="5"/>
  <c r="H103" i="5"/>
  <c r="J75" i="5"/>
  <c r="B75" i="5"/>
  <c r="D75" i="5"/>
  <c r="H74" i="5"/>
  <c r="L74" i="5" s="1"/>
  <c r="H102" i="5"/>
  <c r="J74" i="5"/>
  <c r="B74" i="5"/>
  <c r="B102" i="5" s="1"/>
  <c r="D74" i="5"/>
  <c r="D102" i="5"/>
  <c r="H73" i="5"/>
  <c r="H100" i="5" s="1"/>
  <c r="J73" i="5"/>
  <c r="J101" i="5" s="1"/>
  <c r="B73" i="5"/>
  <c r="D73" i="5"/>
  <c r="H72" i="5"/>
  <c r="J72" i="5"/>
  <c r="B72" i="5"/>
  <c r="B100" i="5"/>
  <c r="D72" i="5"/>
  <c r="H71" i="5"/>
  <c r="H99" i="5" s="1"/>
  <c r="J71" i="5"/>
  <c r="J99" i="5"/>
  <c r="B71" i="5"/>
  <c r="D71" i="5"/>
  <c r="H70" i="5"/>
  <c r="H98" i="5" s="1"/>
  <c r="J70" i="5"/>
  <c r="B70" i="5"/>
  <c r="D70" i="5"/>
  <c r="D98" i="5" s="1"/>
  <c r="H69" i="5"/>
  <c r="H97" i="5"/>
  <c r="J69" i="5"/>
  <c r="B69" i="5"/>
  <c r="D69" i="5"/>
  <c r="D97" i="5"/>
  <c r="H68" i="5"/>
  <c r="J68" i="5"/>
  <c r="J96" i="5" s="1"/>
  <c r="B68" i="5"/>
  <c r="D68" i="5"/>
  <c r="L87" i="5"/>
  <c r="L86" i="5"/>
  <c r="F86" i="5"/>
  <c r="L85" i="5"/>
  <c r="F85" i="5"/>
  <c r="L84" i="5"/>
  <c r="F84" i="5"/>
  <c r="L83" i="5"/>
  <c r="F83" i="5"/>
  <c r="L82" i="5"/>
  <c r="L81" i="5"/>
  <c r="F81" i="5"/>
  <c r="L80" i="5"/>
  <c r="F80" i="5"/>
  <c r="L78" i="5"/>
  <c r="F78" i="5"/>
  <c r="L77" i="5"/>
  <c r="F76" i="5"/>
  <c r="F75" i="5"/>
  <c r="F74" i="5"/>
  <c r="L73" i="5"/>
  <c r="L72" i="5"/>
  <c r="F72" i="5"/>
  <c r="L71" i="5"/>
  <c r="F70" i="5"/>
  <c r="L69" i="5"/>
  <c r="F69" i="5"/>
  <c r="B26" i="5"/>
  <c r="B27" i="5"/>
  <c r="B28" i="5"/>
  <c r="B29" i="5"/>
  <c r="B54" i="5"/>
  <c r="F54" i="5" s="1"/>
  <c r="D26" i="5"/>
  <c r="D54" i="5" s="1"/>
  <c r="D27" i="5"/>
  <c r="D28" i="5"/>
  <c r="D29" i="5"/>
  <c r="B25" i="5"/>
  <c r="B53" i="5"/>
  <c r="F53" i="5" s="1"/>
  <c r="D25" i="5"/>
  <c r="D53" i="5" s="1"/>
  <c r="B24" i="5"/>
  <c r="D24" i="5"/>
  <c r="D52" i="5"/>
  <c r="B23" i="5"/>
  <c r="B51" i="5" s="1"/>
  <c r="D23" i="5"/>
  <c r="D51" i="5" s="1"/>
  <c r="B22" i="5"/>
  <c r="D22" i="5"/>
  <c r="B21" i="5"/>
  <c r="D21" i="5"/>
  <c r="D49" i="5" s="1"/>
  <c r="B20" i="5"/>
  <c r="D20" i="5"/>
  <c r="D48" i="5" s="1"/>
  <c r="B19" i="5"/>
  <c r="D19" i="5"/>
  <c r="D47" i="5"/>
  <c r="B18" i="5"/>
  <c r="D18" i="5"/>
  <c r="B17" i="5"/>
  <c r="B45" i="5"/>
  <c r="D17" i="5"/>
  <c r="F17" i="5" s="1"/>
  <c r="B16" i="5"/>
  <c r="D16" i="5"/>
  <c r="D44" i="5" s="1"/>
  <c r="B15" i="5"/>
  <c r="D15" i="5"/>
  <c r="D43" i="5"/>
  <c r="B14" i="5"/>
  <c r="D14" i="5"/>
  <c r="B13" i="5"/>
  <c r="D13" i="5"/>
  <c r="D41" i="5" s="1"/>
  <c r="B12" i="5"/>
  <c r="B40" i="5" s="1"/>
  <c r="D12" i="5"/>
  <c r="D40" i="5" s="1"/>
  <c r="B11" i="5"/>
  <c r="B39" i="5"/>
  <c r="F39" i="5" s="1"/>
  <c r="D11" i="5"/>
  <c r="D39" i="5" s="1"/>
  <c r="B10" i="5"/>
  <c r="D10" i="5"/>
  <c r="B9" i="5"/>
  <c r="B37" i="5" s="1"/>
  <c r="D9" i="5"/>
  <c r="D37" i="5" s="1"/>
  <c r="F29" i="5"/>
  <c r="F28" i="5"/>
  <c r="F27" i="5"/>
  <c r="F26" i="5"/>
  <c r="F24" i="5"/>
  <c r="F23" i="5"/>
  <c r="F11" i="5"/>
  <c r="F9" i="5"/>
  <c r="Z6" i="1"/>
  <c r="M367" i="2" s="1"/>
  <c r="G367" i="2"/>
  <c r="F367" i="2"/>
  <c r="E367" i="2"/>
  <c r="I366" i="2"/>
  <c r="G366" i="2"/>
  <c r="F366" i="2"/>
  <c r="J365" i="2"/>
  <c r="I365" i="2"/>
  <c r="G365" i="2"/>
  <c r="K364" i="2"/>
  <c r="J364" i="2"/>
  <c r="I364" i="2"/>
  <c r="M363" i="2"/>
  <c r="K363" i="2"/>
  <c r="J363" i="2"/>
  <c r="B363" i="2"/>
  <c r="M362" i="2"/>
  <c r="K362" i="2"/>
  <c r="C362" i="2"/>
  <c r="B362" i="2"/>
  <c r="M361" i="2"/>
  <c r="E361" i="2"/>
  <c r="C361" i="2"/>
  <c r="B361" i="2"/>
  <c r="F360" i="2"/>
  <c r="E360" i="2"/>
  <c r="C360" i="2"/>
  <c r="G359" i="2"/>
  <c r="F359" i="2"/>
  <c r="E359" i="2"/>
  <c r="I358" i="2"/>
  <c r="G358" i="2"/>
  <c r="F358" i="2"/>
  <c r="J357" i="2"/>
  <c r="I357" i="2"/>
  <c r="G357" i="2"/>
  <c r="K356" i="2"/>
  <c r="J356" i="2"/>
  <c r="I356" i="2"/>
  <c r="M355" i="2"/>
  <c r="K355" i="2"/>
  <c r="J355" i="2"/>
  <c r="B355" i="2"/>
  <c r="M354" i="2"/>
  <c r="L354" i="2"/>
  <c r="F354" i="2"/>
  <c r="E354" i="2"/>
  <c r="D354" i="2"/>
  <c r="J353" i="2"/>
  <c r="I353" i="2"/>
  <c r="H353" i="2"/>
  <c r="B353" i="2"/>
  <c r="M352" i="2"/>
  <c r="L352" i="2"/>
  <c r="F352" i="2"/>
  <c r="E352" i="2"/>
  <c r="D352" i="2"/>
  <c r="J351" i="2"/>
  <c r="I351" i="2"/>
  <c r="H351" i="2"/>
  <c r="B351" i="2"/>
  <c r="M350" i="2"/>
  <c r="L350" i="2"/>
  <c r="F350" i="2"/>
  <c r="E350" i="2"/>
  <c r="D350" i="2"/>
  <c r="J341" i="2"/>
  <c r="I341" i="2"/>
  <c r="H341" i="2"/>
  <c r="B341" i="2"/>
  <c r="M340" i="2"/>
  <c r="L340" i="2"/>
  <c r="F340" i="2"/>
  <c r="E340" i="2"/>
  <c r="D340" i="2"/>
  <c r="J339" i="2"/>
  <c r="I339" i="2"/>
  <c r="H339" i="2"/>
  <c r="B339" i="2"/>
  <c r="M338" i="2"/>
  <c r="L338" i="2"/>
  <c r="F338" i="2"/>
  <c r="E338" i="2"/>
  <c r="D338" i="2"/>
  <c r="J337" i="2"/>
  <c r="I337" i="2"/>
  <c r="H337" i="2"/>
  <c r="B337" i="2"/>
  <c r="M336" i="2"/>
  <c r="L336" i="2"/>
  <c r="F336" i="2"/>
  <c r="E336" i="2"/>
  <c r="D336" i="2"/>
  <c r="J335" i="2"/>
  <c r="I335" i="2"/>
  <c r="H335" i="2"/>
  <c r="B335" i="2"/>
  <c r="M334" i="2"/>
  <c r="L334" i="2"/>
  <c r="F334" i="2"/>
  <c r="E334" i="2"/>
  <c r="D334" i="2"/>
  <c r="J333" i="2"/>
  <c r="I333" i="2"/>
  <c r="H333" i="2"/>
  <c r="B333" i="2"/>
  <c r="M332" i="2"/>
  <c r="L332" i="2"/>
  <c r="F332" i="2"/>
  <c r="E332" i="2"/>
  <c r="D332" i="2"/>
  <c r="J331" i="2"/>
  <c r="I331" i="2"/>
  <c r="H331" i="2"/>
  <c r="B331" i="2"/>
  <c r="M330" i="2"/>
  <c r="L330" i="2"/>
  <c r="F330" i="2"/>
  <c r="E330" i="2"/>
  <c r="D330" i="2"/>
  <c r="J329" i="2"/>
  <c r="I329" i="2"/>
  <c r="H329" i="2"/>
  <c r="B329" i="2"/>
  <c r="M328" i="2"/>
  <c r="L328" i="2"/>
  <c r="F328" i="2"/>
  <c r="E328" i="2"/>
  <c r="D328" i="2"/>
  <c r="J327" i="2"/>
  <c r="I327" i="2"/>
  <c r="H327" i="2"/>
  <c r="B327" i="2"/>
  <c r="M326" i="2"/>
  <c r="L326" i="2"/>
  <c r="F326" i="2"/>
  <c r="E326" i="2"/>
  <c r="D326" i="2"/>
  <c r="J325" i="2"/>
  <c r="I325" i="2"/>
  <c r="H325" i="2"/>
  <c r="B325" i="2"/>
  <c r="M324" i="2"/>
  <c r="L324" i="2"/>
  <c r="F324" i="2"/>
  <c r="E324" i="2"/>
  <c r="D324" i="2"/>
  <c r="J323" i="2"/>
  <c r="I323" i="2"/>
  <c r="H323" i="2"/>
  <c r="G323" i="2"/>
  <c r="B323" i="2"/>
  <c r="M322" i="2"/>
  <c r="L322" i="2"/>
  <c r="K322" i="2"/>
  <c r="F322" i="2"/>
  <c r="E322" i="2"/>
  <c r="D322" i="2"/>
  <c r="C322" i="2"/>
  <c r="J321" i="2"/>
  <c r="I321" i="2"/>
  <c r="H321" i="2"/>
  <c r="G321" i="2"/>
  <c r="B321" i="2"/>
  <c r="B272" i="2"/>
  <c r="B301" i="2" s="1"/>
  <c r="F301" i="2" s="1"/>
  <c r="B273" i="2"/>
  <c r="B274" i="2"/>
  <c r="B275" i="2"/>
  <c r="D272" i="2"/>
  <c r="D273" i="2"/>
  <c r="D301" i="2"/>
  <c r="D274" i="2"/>
  <c r="D275" i="2"/>
  <c r="B276" i="2"/>
  <c r="B277" i="2"/>
  <c r="B278" i="2"/>
  <c r="B279" i="2"/>
  <c r="B305" i="2"/>
  <c r="D276" i="2"/>
  <c r="D277" i="2"/>
  <c r="D303" i="2" s="1"/>
  <c r="D278" i="2"/>
  <c r="D279" i="2"/>
  <c r="E272" i="2"/>
  <c r="E273" i="2"/>
  <c r="E301" i="2"/>
  <c r="E274" i="2"/>
  <c r="E302" i="2" s="1"/>
  <c r="E275" i="2"/>
  <c r="E276" i="2"/>
  <c r="E277" i="2"/>
  <c r="E278" i="2"/>
  <c r="E279" i="2"/>
  <c r="C272" i="2"/>
  <c r="C301" i="2" s="1"/>
  <c r="C273" i="2"/>
  <c r="C274" i="2"/>
  <c r="C275" i="2"/>
  <c r="C276" i="2"/>
  <c r="C304" i="2" s="1"/>
  <c r="C277" i="2"/>
  <c r="H277" i="2" s="1"/>
  <c r="I277" i="2" s="1"/>
  <c r="C278" i="2"/>
  <c r="C279" i="2"/>
  <c r="B271" i="2"/>
  <c r="B300" i="2"/>
  <c r="D271" i="2"/>
  <c r="D299" i="2" s="1"/>
  <c r="D300" i="2"/>
  <c r="B304" i="2"/>
  <c r="E271" i="2"/>
  <c r="E304" i="2"/>
  <c r="J304" i="2"/>
  <c r="C271" i="2"/>
  <c r="C299" i="2" s="1"/>
  <c r="C300" i="2"/>
  <c r="B270" i="2"/>
  <c r="B299" i="2"/>
  <c r="D270" i="2"/>
  <c r="B303" i="2"/>
  <c r="E270" i="2"/>
  <c r="E299" i="2" s="1"/>
  <c r="C270" i="2"/>
  <c r="C303" i="2"/>
  <c r="B269" i="2"/>
  <c r="B298" i="2" s="1"/>
  <c r="D269" i="2"/>
  <c r="D298" i="2" s="1"/>
  <c r="B302" i="2"/>
  <c r="L302" i="2" s="1"/>
  <c r="D302" i="2"/>
  <c r="E269" i="2"/>
  <c r="J302" i="2"/>
  <c r="C269" i="2"/>
  <c r="C297" i="2" s="1"/>
  <c r="C302" i="2"/>
  <c r="B268" i="2"/>
  <c r="B297" i="2"/>
  <c r="D268" i="2"/>
  <c r="D297" i="2"/>
  <c r="E268" i="2"/>
  <c r="C268" i="2"/>
  <c r="B267" i="2"/>
  <c r="B296" i="2" s="1"/>
  <c r="D267" i="2"/>
  <c r="D296" i="2"/>
  <c r="E267" i="2"/>
  <c r="C267" i="2"/>
  <c r="B266" i="2"/>
  <c r="B295" i="2"/>
  <c r="D266" i="2"/>
  <c r="D295" i="2"/>
  <c r="E266" i="2"/>
  <c r="C266" i="2"/>
  <c r="C295" i="2"/>
  <c r="B265" i="2"/>
  <c r="B294" i="2"/>
  <c r="J294" i="2" s="1"/>
  <c r="D265" i="2"/>
  <c r="D294" i="2" s="1"/>
  <c r="E265" i="2"/>
  <c r="E294" i="2"/>
  <c r="C265" i="2"/>
  <c r="C294" i="2"/>
  <c r="H294" i="2" s="1"/>
  <c r="B264" i="2"/>
  <c r="B293" i="2" s="1"/>
  <c r="D264" i="2"/>
  <c r="D293" i="2"/>
  <c r="E264" i="2"/>
  <c r="E291" i="2" s="1"/>
  <c r="H291" i="2" s="1"/>
  <c r="C264" i="2"/>
  <c r="C293" i="2"/>
  <c r="B263" i="2"/>
  <c r="B291" i="2" s="1"/>
  <c r="D263" i="2"/>
  <c r="D292" i="2"/>
  <c r="E263" i="2"/>
  <c r="C263" i="2"/>
  <c r="C292" i="2" s="1"/>
  <c r="B262" i="2"/>
  <c r="D262" i="2"/>
  <c r="D291" i="2"/>
  <c r="E262" i="2"/>
  <c r="C262" i="2"/>
  <c r="C291" i="2"/>
  <c r="B261" i="2"/>
  <c r="B290" i="2" s="1"/>
  <c r="D261" i="2"/>
  <c r="D290" i="2" s="1"/>
  <c r="E261" i="2"/>
  <c r="E290" i="2"/>
  <c r="C261" i="2"/>
  <c r="C290" i="2" s="1"/>
  <c r="H290" i="2" s="1"/>
  <c r="B260" i="2"/>
  <c r="D260" i="2"/>
  <c r="D289" i="2" s="1"/>
  <c r="E260" i="2"/>
  <c r="E289" i="2" s="1"/>
  <c r="C260" i="2"/>
  <c r="C289" i="2" s="1"/>
  <c r="H289" i="2" s="1"/>
  <c r="B259" i="2"/>
  <c r="D259" i="2"/>
  <c r="D288" i="2"/>
  <c r="E259" i="2"/>
  <c r="H259" i="2" s="1"/>
  <c r="C259" i="2"/>
  <c r="L275" i="2"/>
  <c r="L279" i="2"/>
  <c r="J275" i="2"/>
  <c r="J279" i="2"/>
  <c r="H275" i="2"/>
  <c r="I279" i="2" s="1"/>
  <c r="H279" i="2"/>
  <c r="F275" i="2"/>
  <c r="G279" i="2" s="1"/>
  <c r="F279" i="2"/>
  <c r="L274" i="2"/>
  <c r="L278" i="2"/>
  <c r="M278" i="2"/>
  <c r="J274" i="2"/>
  <c r="J278" i="2"/>
  <c r="K278" i="2" s="1"/>
  <c r="H274" i="2"/>
  <c r="I278" i="2" s="1"/>
  <c r="H278" i="2"/>
  <c r="F274" i="2"/>
  <c r="F278" i="2"/>
  <c r="L273" i="2"/>
  <c r="L277" i="2"/>
  <c r="M277" i="2" s="1"/>
  <c r="J273" i="2"/>
  <c r="J277" i="2"/>
  <c r="H273" i="2"/>
  <c r="F273" i="2"/>
  <c r="F277" i="2"/>
  <c r="G277" i="2"/>
  <c r="L272" i="2"/>
  <c r="M276" i="2" s="1"/>
  <c r="L276" i="2"/>
  <c r="J272" i="2"/>
  <c r="K276" i="2" s="1"/>
  <c r="J276" i="2"/>
  <c r="H272" i="2"/>
  <c r="I276" i="2" s="1"/>
  <c r="H276" i="2"/>
  <c r="F272" i="2"/>
  <c r="F276" i="2"/>
  <c r="G276" i="2"/>
  <c r="J271" i="2"/>
  <c r="K275" i="2" s="1"/>
  <c r="H271" i="2"/>
  <c r="F271" i="2"/>
  <c r="L270" i="2"/>
  <c r="M274" i="2" s="1"/>
  <c r="J270" i="2"/>
  <c r="K274" i="2"/>
  <c r="H270" i="2"/>
  <c r="F270" i="2"/>
  <c r="G274" i="2" s="1"/>
  <c r="L269" i="2"/>
  <c r="M273" i="2"/>
  <c r="F269" i="2"/>
  <c r="G273" i="2"/>
  <c r="L268" i="2"/>
  <c r="J268" i="2"/>
  <c r="H268" i="2"/>
  <c r="F268" i="2"/>
  <c r="G272" i="2"/>
  <c r="L267" i="2"/>
  <c r="J267" i="2"/>
  <c r="L266" i="2"/>
  <c r="M270" i="2"/>
  <c r="J266" i="2"/>
  <c r="F266" i="2"/>
  <c r="L265" i="2"/>
  <c r="M269" i="2" s="1"/>
  <c r="J265" i="2"/>
  <c r="F265" i="2"/>
  <c r="G269" i="2"/>
  <c r="L264" i="2"/>
  <c r="M268" i="2"/>
  <c r="J264" i="2"/>
  <c r="F264" i="2"/>
  <c r="G268" i="2" s="1"/>
  <c r="L263" i="2"/>
  <c r="J263" i="2"/>
  <c r="H263" i="2"/>
  <c r="F263" i="2"/>
  <c r="J262" i="2"/>
  <c r="K262" i="2" s="1"/>
  <c r="H262" i="2"/>
  <c r="L261" i="2"/>
  <c r="M261" i="2" s="1"/>
  <c r="J261" i="2"/>
  <c r="K261" i="2"/>
  <c r="H261" i="2"/>
  <c r="L260" i="2"/>
  <c r="M264" i="2" s="1"/>
  <c r="L259" i="2"/>
  <c r="M263" i="2" s="1"/>
  <c r="J259" i="2"/>
  <c r="K259" i="2"/>
  <c r="M260" i="2"/>
  <c r="M259" i="2"/>
  <c r="B210" i="2"/>
  <c r="B211" i="2"/>
  <c r="B212" i="2"/>
  <c r="B213" i="2"/>
  <c r="D210" i="2"/>
  <c r="D211" i="2"/>
  <c r="D212" i="2"/>
  <c r="D213" i="2"/>
  <c r="B214" i="2"/>
  <c r="B215" i="2"/>
  <c r="B216" i="2"/>
  <c r="B217" i="2"/>
  <c r="L217" i="2" s="1"/>
  <c r="D214" i="2"/>
  <c r="D215" i="2"/>
  <c r="D216" i="2"/>
  <c r="L216" i="2"/>
  <c r="D217" i="2"/>
  <c r="E210" i="2"/>
  <c r="E211" i="2"/>
  <c r="E212" i="2"/>
  <c r="E213" i="2"/>
  <c r="J213" i="2" s="1"/>
  <c r="E214" i="2"/>
  <c r="E215" i="2"/>
  <c r="H215" i="2" s="1"/>
  <c r="E216" i="2"/>
  <c r="E217" i="2"/>
  <c r="C210" i="2"/>
  <c r="C211" i="2"/>
  <c r="C212" i="2"/>
  <c r="C213" i="2"/>
  <c r="C214" i="2"/>
  <c r="H214" i="2" s="1"/>
  <c r="C215" i="2"/>
  <c r="C216" i="2"/>
  <c r="F216" i="2" s="1"/>
  <c r="C217" i="2"/>
  <c r="B209" i="2"/>
  <c r="D209" i="2"/>
  <c r="E209" i="2"/>
  <c r="E238" i="2" s="1"/>
  <c r="E242" i="2"/>
  <c r="C209" i="2"/>
  <c r="B208" i="2"/>
  <c r="B237" i="2" s="1"/>
  <c r="D208" i="2"/>
  <c r="E208" i="2"/>
  <c r="C208" i="2"/>
  <c r="C237" i="2" s="1"/>
  <c r="B207" i="2"/>
  <c r="L207" i="2" s="1"/>
  <c r="D207" i="2"/>
  <c r="D235" i="2" s="1"/>
  <c r="D236" i="2"/>
  <c r="E207" i="2"/>
  <c r="C207" i="2"/>
  <c r="C236" i="2"/>
  <c r="C240" i="2"/>
  <c r="B206" i="2"/>
  <c r="B234" i="2" s="1"/>
  <c r="D206" i="2"/>
  <c r="E206" i="2"/>
  <c r="J206" i="2" s="1"/>
  <c r="C206" i="2"/>
  <c r="C235" i="2"/>
  <c r="B205" i="2"/>
  <c r="D205" i="2"/>
  <c r="L205" i="2" s="1"/>
  <c r="E205" i="2"/>
  <c r="C205" i="2"/>
  <c r="C234" i="2" s="1"/>
  <c r="B204" i="2"/>
  <c r="D204" i="2"/>
  <c r="E204" i="2"/>
  <c r="C204" i="2"/>
  <c r="C233" i="2"/>
  <c r="B203" i="2"/>
  <c r="F203" i="2" s="1"/>
  <c r="G207" i="2" s="1"/>
  <c r="D203" i="2"/>
  <c r="E203" i="2"/>
  <c r="C203" i="2"/>
  <c r="C232" i="2"/>
  <c r="B202" i="2"/>
  <c r="D202" i="2"/>
  <c r="E202" i="2"/>
  <c r="C202" i="2"/>
  <c r="H202" i="2" s="1"/>
  <c r="C231" i="2"/>
  <c r="B201" i="2"/>
  <c r="D201" i="2"/>
  <c r="D230" i="2" s="1"/>
  <c r="E201" i="2"/>
  <c r="E230" i="2"/>
  <c r="C201" i="2"/>
  <c r="B200" i="2"/>
  <c r="D200" i="2"/>
  <c r="E200" i="2"/>
  <c r="E229" i="2" s="1"/>
  <c r="C200" i="2"/>
  <c r="B199" i="2"/>
  <c r="D199" i="2"/>
  <c r="D228" i="2" s="1"/>
  <c r="E199" i="2"/>
  <c r="H199" i="2" s="1"/>
  <c r="C199" i="2"/>
  <c r="B198" i="2"/>
  <c r="B226" i="2" s="1"/>
  <c r="D198" i="2"/>
  <c r="E198" i="2"/>
  <c r="C198" i="2"/>
  <c r="F198" i="2" s="1"/>
  <c r="B197" i="2"/>
  <c r="D197" i="2"/>
  <c r="E197" i="2"/>
  <c r="C197" i="2"/>
  <c r="L213" i="2"/>
  <c r="M217" i="2"/>
  <c r="J217" i="2"/>
  <c r="J212" i="2"/>
  <c r="J216" i="2"/>
  <c r="H216" i="2"/>
  <c r="J211" i="2"/>
  <c r="J215" i="2"/>
  <c r="H211" i="2"/>
  <c r="I215" i="2" s="1"/>
  <c r="F211" i="2"/>
  <c r="G215" i="2" s="1"/>
  <c r="F215" i="2"/>
  <c r="J214" i="2"/>
  <c r="H210" i="2"/>
  <c r="I214" i="2" s="1"/>
  <c r="F214" i="2"/>
  <c r="H209" i="2"/>
  <c r="L208" i="2"/>
  <c r="J208" i="2"/>
  <c r="F208" i="2"/>
  <c r="J207" i="2"/>
  <c r="H207" i="2"/>
  <c r="I211" i="2" s="1"/>
  <c r="F207" i="2"/>
  <c r="G211" i="2" s="1"/>
  <c r="L206" i="2"/>
  <c r="F206" i="2"/>
  <c r="F205" i="2"/>
  <c r="L204" i="2"/>
  <c r="M208" i="2"/>
  <c r="H204" i="2"/>
  <c r="H203" i="2"/>
  <c r="L201" i="2"/>
  <c r="H201" i="2"/>
  <c r="J200" i="2"/>
  <c r="B148" i="2"/>
  <c r="B149" i="2"/>
  <c r="J149" i="2" s="1"/>
  <c r="B150" i="2"/>
  <c r="F150" i="2" s="1"/>
  <c r="B151" i="2"/>
  <c r="D148" i="2"/>
  <c r="D149" i="2"/>
  <c r="D150" i="2"/>
  <c r="D151" i="2"/>
  <c r="L151" i="2" s="1"/>
  <c r="B152" i="2"/>
  <c r="B181" i="2" s="1"/>
  <c r="B153" i="2"/>
  <c r="J153" i="2" s="1"/>
  <c r="K153" i="2" s="1"/>
  <c r="B154" i="2"/>
  <c r="B155" i="2"/>
  <c r="D152" i="2"/>
  <c r="D153" i="2"/>
  <c r="D154" i="2"/>
  <c r="D155" i="2"/>
  <c r="L155" i="2" s="1"/>
  <c r="E148" i="2"/>
  <c r="E176" i="2"/>
  <c r="E149" i="2"/>
  <c r="E150" i="2"/>
  <c r="E151" i="2"/>
  <c r="E177" i="2" s="1"/>
  <c r="E152" i="2"/>
  <c r="E153" i="2"/>
  <c r="E154" i="2"/>
  <c r="E155" i="2"/>
  <c r="C148" i="2"/>
  <c r="C177" i="2" s="1"/>
  <c r="C149" i="2"/>
  <c r="C178" i="2" s="1"/>
  <c r="C150" i="2"/>
  <c r="H150" i="2" s="1"/>
  <c r="C151" i="2"/>
  <c r="C152" i="2"/>
  <c r="C153" i="2"/>
  <c r="C154" i="2"/>
  <c r="C155" i="2"/>
  <c r="B147" i="2"/>
  <c r="L147" i="2" s="1"/>
  <c r="D147" i="2"/>
  <c r="E147" i="2"/>
  <c r="C147" i="2"/>
  <c r="H147" i="2" s="1"/>
  <c r="B146" i="2"/>
  <c r="D146" i="2"/>
  <c r="D175" i="2" s="1"/>
  <c r="E146" i="2"/>
  <c r="E175" i="2" s="1"/>
  <c r="C146" i="2"/>
  <c r="B145" i="2"/>
  <c r="L145" i="2" s="1"/>
  <c r="M149" i="2" s="1"/>
  <c r="D145" i="2"/>
  <c r="D174" i="2"/>
  <c r="D178" i="2"/>
  <c r="E145" i="2"/>
  <c r="H145" i="2" s="1"/>
  <c r="E174" i="2"/>
  <c r="C145" i="2"/>
  <c r="B144" i="2"/>
  <c r="D144" i="2"/>
  <c r="E144" i="2"/>
  <c r="C144" i="2"/>
  <c r="C173" i="2"/>
  <c r="B143" i="2"/>
  <c r="D143" i="2"/>
  <c r="D172" i="2"/>
  <c r="E143" i="2"/>
  <c r="C143" i="2"/>
  <c r="H143" i="2" s="1"/>
  <c r="I147" i="2" s="1"/>
  <c r="C172" i="2"/>
  <c r="B142" i="2"/>
  <c r="L142" i="2" s="1"/>
  <c r="D142" i="2"/>
  <c r="D171" i="2" s="1"/>
  <c r="E142" i="2"/>
  <c r="E171" i="2"/>
  <c r="C142" i="2"/>
  <c r="B141" i="2"/>
  <c r="D141" i="2"/>
  <c r="D170" i="2" s="1"/>
  <c r="E141" i="2"/>
  <c r="H141" i="2" s="1"/>
  <c r="I145" i="2" s="1"/>
  <c r="E170" i="2"/>
  <c r="C141" i="2"/>
  <c r="B140" i="2"/>
  <c r="D140" i="2"/>
  <c r="D169" i="2"/>
  <c r="E140" i="2"/>
  <c r="E169" i="2"/>
  <c r="C140" i="2"/>
  <c r="C166" i="2" s="1"/>
  <c r="B139" i="2"/>
  <c r="D139" i="2"/>
  <c r="E139" i="2"/>
  <c r="E168" i="2" s="1"/>
  <c r="C139" i="2"/>
  <c r="C168" i="2" s="1"/>
  <c r="B138" i="2"/>
  <c r="D138" i="2"/>
  <c r="E138" i="2"/>
  <c r="C138" i="2"/>
  <c r="F138" i="2" s="1"/>
  <c r="B137" i="2"/>
  <c r="F137" i="2" s="1"/>
  <c r="B166" i="2"/>
  <c r="D137" i="2"/>
  <c r="E137" i="2"/>
  <c r="C137" i="2"/>
  <c r="B136" i="2"/>
  <c r="B165" i="2"/>
  <c r="D136" i="2"/>
  <c r="E136" i="2"/>
  <c r="C136" i="2"/>
  <c r="C165" i="2"/>
  <c r="B135" i="2"/>
  <c r="D135" i="2"/>
  <c r="D164" i="2"/>
  <c r="E135" i="2"/>
  <c r="E164" i="2"/>
  <c r="C135" i="2"/>
  <c r="J151" i="2"/>
  <c r="J155" i="2"/>
  <c r="H151" i="2"/>
  <c r="L150" i="2"/>
  <c r="M154" i="2" s="1"/>
  <c r="L154" i="2"/>
  <c r="J154" i="2"/>
  <c r="L149" i="2"/>
  <c r="L153" i="2"/>
  <c r="H153" i="2"/>
  <c r="F153" i="2"/>
  <c r="L152" i="2"/>
  <c r="F152" i="2"/>
  <c r="J147" i="2"/>
  <c r="K151" i="2" s="1"/>
  <c r="F145" i="2"/>
  <c r="L144" i="2"/>
  <c r="J144" i="2"/>
  <c r="F144" i="2"/>
  <c r="L141" i="2"/>
  <c r="M145" i="2" s="1"/>
  <c r="J140" i="2"/>
  <c r="K144" i="2" s="1"/>
  <c r="J138" i="2"/>
  <c r="J137" i="2"/>
  <c r="J136" i="2"/>
  <c r="F136" i="2"/>
  <c r="J135" i="2"/>
  <c r="F135" i="2"/>
  <c r="B86" i="2"/>
  <c r="B87" i="2"/>
  <c r="B88" i="2"/>
  <c r="B89" i="2"/>
  <c r="D86" i="2"/>
  <c r="D87" i="2"/>
  <c r="D88" i="2"/>
  <c r="D89" i="2"/>
  <c r="B90" i="2"/>
  <c r="B91" i="2"/>
  <c r="B92" i="2"/>
  <c r="B93" i="2"/>
  <c r="L93" i="2"/>
  <c r="D90" i="2"/>
  <c r="D91" i="2"/>
  <c r="D92" i="2"/>
  <c r="D93" i="2"/>
  <c r="E86" i="2"/>
  <c r="E87" i="2"/>
  <c r="E88" i="2"/>
  <c r="E89" i="2"/>
  <c r="J89" i="2"/>
  <c r="E90" i="2"/>
  <c r="E91" i="2"/>
  <c r="E92" i="2"/>
  <c r="E93" i="2"/>
  <c r="J93" i="2" s="1"/>
  <c r="K93" i="2" s="1"/>
  <c r="C86" i="2"/>
  <c r="C115" i="2" s="1"/>
  <c r="F86" i="2"/>
  <c r="C87" i="2"/>
  <c r="C88" i="2"/>
  <c r="C89" i="2"/>
  <c r="C90" i="2"/>
  <c r="C117" i="2" s="1"/>
  <c r="C91" i="2"/>
  <c r="C92" i="2"/>
  <c r="H92" i="2"/>
  <c r="C93" i="2"/>
  <c r="B85" i="2"/>
  <c r="D85" i="2"/>
  <c r="E85" i="2"/>
  <c r="C85" i="2"/>
  <c r="F85" i="2" s="1"/>
  <c r="G89" i="2" s="1"/>
  <c r="B84" i="2"/>
  <c r="D84" i="2"/>
  <c r="E84" i="2"/>
  <c r="E113" i="2" s="1"/>
  <c r="C84" i="2"/>
  <c r="F84" i="2" s="1"/>
  <c r="C113" i="2"/>
  <c r="H113" i="2" s="1"/>
  <c r="B83" i="2"/>
  <c r="D83" i="2"/>
  <c r="E83" i="2"/>
  <c r="E112" i="2"/>
  <c r="C83" i="2"/>
  <c r="B82" i="2"/>
  <c r="D82" i="2"/>
  <c r="D111" i="2" s="1"/>
  <c r="E82" i="2"/>
  <c r="C82" i="2"/>
  <c r="B81" i="2"/>
  <c r="L81" i="2" s="1"/>
  <c r="D81" i="2"/>
  <c r="D110" i="2"/>
  <c r="E81" i="2"/>
  <c r="C81" i="2"/>
  <c r="C110" i="2" s="1"/>
  <c r="B80" i="2"/>
  <c r="L80" i="2" s="1"/>
  <c r="D80" i="2"/>
  <c r="E80" i="2"/>
  <c r="C80" i="2"/>
  <c r="C109" i="2" s="1"/>
  <c r="B79" i="2"/>
  <c r="D79" i="2"/>
  <c r="E79" i="2"/>
  <c r="E106" i="2" s="1"/>
  <c r="E108" i="2"/>
  <c r="C79" i="2"/>
  <c r="C108" i="2" s="1"/>
  <c r="H108" i="2" s="1"/>
  <c r="B78" i="2"/>
  <c r="B107" i="2" s="1"/>
  <c r="L107" i="2"/>
  <c r="D78" i="2"/>
  <c r="D107" i="2" s="1"/>
  <c r="E78" i="2"/>
  <c r="C78" i="2"/>
  <c r="B77" i="2"/>
  <c r="F77" i="2" s="1"/>
  <c r="G81" i="2" s="1"/>
  <c r="B106" i="2"/>
  <c r="D77" i="2"/>
  <c r="D106" i="2" s="1"/>
  <c r="E77" i="2"/>
  <c r="C77" i="2"/>
  <c r="B76" i="2"/>
  <c r="B105" i="2" s="1"/>
  <c r="D76" i="2"/>
  <c r="D104" i="2" s="1"/>
  <c r="E76" i="2"/>
  <c r="C76" i="2"/>
  <c r="B75" i="2"/>
  <c r="J75" i="2" s="1"/>
  <c r="D75" i="2"/>
  <c r="E75" i="2"/>
  <c r="E104" i="2"/>
  <c r="C75" i="2"/>
  <c r="H75" i="2" s="1"/>
  <c r="C104" i="2"/>
  <c r="H104" i="2" s="1"/>
  <c r="B74" i="2"/>
  <c r="B103" i="2" s="1"/>
  <c r="D74" i="2"/>
  <c r="D103" i="2"/>
  <c r="E74" i="2"/>
  <c r="E103" i="2" s="1"/>
  <c r="C74" i="2"/>
  <c r="B73" i="2"/>
  <c r="D73" i="2"/>
  <c r="D102" i="2" s="1"/>
  <c r="E73" i="2"/>
  <c r="C73" i="2"/>
  <c r="H89" i="2"/>
  <c r="F89" i="2"/>
  <c r="G93" i="2"/>
  <c r="F93" i="2"/>
  <c r="L88" i="2"/>
  <c r="J92" i="2"/>
  <c r="F92" i="2"/>
  <c r="L91" i="2"/>
  <c r="J91" i="2"/>
  <c r="H87" i="2"/>
  <c r="F87" i="2"/>
  <c r="F91" i="2"/>
  <c r="G91" i="2" s="1"/>
  <c r="L90" i="2"/>
  <c r="J90" i="2"/>
  <c r="H86" i="2"/>
  <c r="L85" i="2"/>
  <c r="M85" i="2" s="1"/>
  <c r="L84" i="2"/>
  <c r="M88" i="2" s="1"/>
  <c r="J84" i="2"/>
  <c r="H84" i="2"/>
  <c r="L83" i="2"/>
  <c r="J83" i="2"/>
  <c r="H83" i="2"/>
  <c r="F83" i="2"/>
  <c r="G87" i="2" s="1"/>
  <c r="J82" i="2"/>
  <c r="H82" i="2"/>
  <c r="I86" i="2" s="1"/>
  <c r="F82" i="2"/>
  <c r="G86" i="2" s="1"/>
  <c r="J81" i="2"/>
  <c r="H81" i="2"/>
  <c r="F81" i="2"/>
  <c r="M84" i="2"/>
  <c r="J80" i="2"/>
  <c r="K84" i="2" s="1"/>
  <c r="H80" i="2"/>
  <c r="F80" i="2"/>
  <c r="F78" i="2"/>
  <c r="G82" i="2"/>
  <c r="J77" i="2"/>
  <c r="K81" i="2" s="1"/>
  <c r="H77" i="2"/>
  <c r="I81" i="2" s="1"/>
  <c r="F76" i="2"/>
  <c r="F74" i="2"/>
  <c r="B24" i="2"/>
  <c r="B25" i="2"/>
  <c r="B26" i="2"/>
  <c r="L26" i="2" s="1"/>
  <c r="M30" i="2" s="1"/>
  <c r="B27" i="2"/>
  <c r="F27" i="2" s="1"/>
  <c r="D24" i="2"/>
  <c r="D25" i="2"/>
  <c r="L25" i="2" s="1"/>
  <c r="M29" i="2" s="1"/>
  <c r="D26" i="2"/>
  <c r="D27" i="2"/>
  <c r="B28" i="2"/>
  <c r="B29" i="2"/>
  <c r="J29" i="2" s="1"/>
  <c r="B30" i="2"/>
  <c r="B31" i="2"/>
  <c r="L31" i="2" s="1"/>
  <c r="D28" i="2"/>
  <c r="D57" i="2" s="1"/>
  <c r="D29" i="2"/>
  <c r="D30" i="2"/>
  <c r="D31" i="2"/>
  <c r="E24" i="2"/>
  <c r="E25" i="2"/>
  <c r="E26" i="2"/>
  <c r="E27" i="2"/>
  <c r="E56" i="2" s="1"/>
  <c r="J56" i="2" s="1"/>
  <c r="E28" i="2"/>
  <c r="E29" i="2"/>
  <c r="E30" i="2"/>
  <c r="E31" i="2"/>
  <c r="C24" i="2"/>
  <c r="C50" i="2" s="1"/>
  <c r="H50" i="2" s="1"/>
  <c r="C25" i="2"/>
  <c r="C26" i="2"/>
  <c r="C27" i="2"/>
  <c r="C28" i="2"/>
  <c r="C29" i="2"/>
  <c r="C30" i="2"/>
  <c r="C31" i="2"/>
  <c r="B23" i="2"/>
  <c r="B50" i="2" s="1"/>
  <c r="B52" i="2"/>
  <c r="D23" i="2"/>
  <c r="E23" i="2"/>
  <c r="C23" i="2"/>
  <c r="B22" i="2"/>
  <c r="B51" i="2"/>
  <c r="D22" i="2"/>
  <c r="L22" i="2" s="1"/>
  <c r="M26" i="2" s="1"/>
  <c r="E22" i="2"/>
  <c r="C22" i="2"/>
  <c r="C51" i="2" s="1"/>
  <c r="B21" i="2"/>
  <c r="D21" i="2"/>
  <c r="L21" i="2" s="1"/>
  <c r="M25" i="2" s="1"/>
  <c r="B54" i="2"/>
  <c r="E21" i="2"/>
  <c r="C21" i="2"/>
  <c r="B20" i="2"/>
  <c r="D20" i="2"/>
  <c r="D48" i="2" s="1"/>
  <c r="D49" i="2"/>
  <c r="E20" i="2"/>
  <c r="H20" i="2" s="1"/>
  <c r="C20" i="2"/>
  <c r="C49" i="2"/>
  <c r="B19" i="2"/>
  <c r="D19" i="2"/>
  <c r="D47" i="2" s="1"/>
  <c r="E19" i="2"/>
  <c r="J19" i="2" s="1"/>
  <c r="K23" i="2" s="1"/>
  <c r="C19" i="2"/>
  <c r="C48" i="2" s="1"/>
  <c r="B18" i="2"/>
  <c r="F18" i="2" s="1"/>
  <c r="G22" i="2" s="1"/>
  <c r="B47" i="2"/>
  <c r="D18" i="2"/>
  <c r="E18" i="2"/>
  <c r="C18" i="2"/>
  <c r="B17" i="2"/>
  <c r="B46" i="2"/>
  <c r="D17" i="2"/>
  <c r="D46" i="2" s="1"/>
  <c r="E17" i="2"/>
  <c r="E46" i="2" s="1"/>
  <c r="J46" i="2" s="1"/>
  <c r="C17" i="2"/>
  <c r="F17" i="2" s="1"/>
  <c r="G21" i="2" s="1"/>
  <c r="B16" i="2"/>
  <c r="F16" i="2" s="1"/>
  <c r="B45" i="2"/>
  <c r="D16" i="2"/>
  <c r="D45" i="2"/>
  <c r="E16" i="2"/>
  <c r="E45" i="2" s="1"/>
  <c r="J45" i="2" s="1"/>
  <c r="C16" i="2"/>
  <c r="B15" i="2"/>
  <c r="F15" i="2" s="1"/>
  <c r="B44" i="2"/>
  <c r="F44" i="2" s="1"/>
  <c r="D15" i="2"/>
  <c r="D44" i="2" s="1"/>
  <c r="L44" i="2" s="1"/>
  <c r="E15" i="2"/>
  <c r="C15" i="2"/>
  <c r="C44" i="2" s="1"/>
  <c r="B14" i="2"/>
  <c r="B43" i="2" s="1"/>
  <c r="D14" i="2"/>
  <c r="D43" i="2"/>
  <c r="E14" i="2"/>
  <c r="C14" i="2"/>
  <c r="B13" i="2"/>
  <c r="B42" i="2" s="1"/>
  <c r="F42" i="2" s="1"/>
  <c r="D13" i="2"/>
  <c r="E13" i="2"/>
  <c r="C13" i="2"/>
  <c r="C42" i="2"/>
  <c r="B12" i="2"/>
  <c r="D12" i="2"/>
  <c r="D41" i="2" s="1"/>
  <c r="E12" i="2"/>
  <c r="E41" i="2"/>
  <c r="C12" i="2"/>
  <c r="C41" i="2"/>
  <c r="H41" i="2" s="1"/>
  <c r="B11" i="2"/>
  <c r="B40" i="2" s="1"/>
  <c r="D11" i="2"/>
  <c r="D40" i="2"/>
  <c r="E11" i="2"/>
  <c r="E40" i="2" s="1"/>
  <c r="C11" i="2"/>
  <c r="C40" i="2"/>
  <c r="H40" i="2" s="1"/>
  <c r="J31" i="2"/>
  <c r="H27" i="2"/>
  <c r="I27" i="2" s="1"/>
  <c r="L30" i="2"/>
  <c r="J30" i="2"/>
  <c r="H30" i="2"/>
  <c r="F26" i="2"/>
  <c r="L29" i="2"/>
  <c r="H29" i="2"/>
  <c r="F25" i="2"/>
  <c r="F29" i="2"/>
  <c r="G29" i="2" s="1"/>
  <c r="L24" i="2"/>
  <c r="J24" i="2"/>
  <c r="K28" i="2" s="1"/>
  <c r="J28" i="2"/>
  <c r="H28" i="2"/>
  <c r="F28" i="2"/>
  <c r="L23" i="2"/>
  <c r="H23" i="2"/>
  <c r="F23" i="2"/>
  <c r="H22" i="2"/>
  <c r="F22" i="2"/>
  <c r="G26" i="2" s="1"/>
  <c r="H21" i="2"/>
  <c r="F21" i="2"/>
  <c r="G25" i="2"/>
  <c r="J20" i="2"/>
  <c r="K24" i="2" s="1"/>
  <c r="F20" i="2"/>
  <c r="L19" i="2"/>
  <c r="M23" i="2"/>
  <c r="L18" i="2"/>
  <c r="M22" i="2" s="1"/>
  <c r="J18" i="2"/>
  <c r="H18" i="2"/>
  <c r="I22" i="2" s="1"/>
  <c r="J17" i="2"/>
  <c r="H17" i="2"/>
  <c r="I21" i="2" s="1"/>
  <c r="J16" i="2"/>
  <c r="K20" i="2" s="1"/>
  <c r="H16" i="2"/>
  <c r="I20" i="2" s="1"/>
  <c r="J15" i="2"/>
  <c r="H15" i="2"/>
  <c r="J14" i="2"/>
  <c r="K14" i="2" s="1"/>
  <c r="H14" i="2"/>
  <c r="I18" i="2" s="1"/>
  <c r="J13" i="2"/>
  <c r="K17" i="2" s="1"/>
  <c r="H13" i="2"/>
  <c r="I17" i="2" s="1"/>
  <c r="J12" i="2"/>
  <c r="K12" i="2" s="1"/>
  <c r="H12" i="2"/>
  <c r="I16" i="2" s="1"/>
  <c r="F12" i="2"/>
  <c r="J11" i="2"/>
  <c r="K15" i="2" s="1"/>
  <c r="G12" i="2"/>
  <c r="K11" i="2"/>
  <c r="B71" i="1"/>
  <c r="B70" i="1"/>
  <c r="B69" i="1"/>
  <c r="B68" i="1"/>
  <c r="AB66" i="1"/>
  <c r="AA66" i="1"/>
  <c r="Z66" i="1"/>
  <c r="C1" i="1"/>
  <c r="U66" i="1" s="1"/>
  <c r="W66" i="1"/>
  <c r="S66" i="1"/>
  <c r="R66" i="1"/>
  <c r="Q66" i="1"/>
  <c r="O66" i="1"/>
  <c r="N66" i="1"/>
  <c r="M66" i="1"/>
  <c r="K66" i="1"/>
  <c r="J66" i="1"/>
  <c r="I66" i="1"/>
  <c r="G66" i="1"/>
  <c r="F66" i="1"/>
  <c r="E66" i="1"/>
  <c r="D66" i="1"/>
  <c r="AB65" i="1"/>
  <c r="AA65" i="1"/>
  <c r="Z65" i="1"/>
  <c r="X65" i="1"/>
  <c r="W65" i="1"/>
  <c r="V65" i="1"/>
  <c r="U65" i="1"/>
  <c r="S65" i="1"/>
  <c r="R65" i="1"/>
  <c r="Q65" i="1"/>
  <c r="O65" i="1"/>
  <c r="N65" i="1"/>
  <c r="M65" i="1"/>
  <c r="K65" i="1"/>
  <c r="J65" i="1"/>
  <c r="I65" i="1"/>
  <c r="G65" i="1"/>
  <c r="F65" i="1"/>
  <c r="E65" i="1"/>
  <c r="D65" i="1"/>
  <c r="AB64" i="1"/>
  <c r="AA64" i="1"/>
  <c r="Z64" i="1"/>
  <c r="X64" i="1"/>
  <c r="W64" i="1"/>
  <c r="V64" i="1"/>
  <c r="U64" i="1"/>
  <c r="S64" i="1"/>
  <c r="R64" i="1"/>
  <c r="Q64" i="1"/>
  <c r="O64" i="1"/>
  <c r="N64" i="1"/>
  <c r="M64" i="1"/>
  <c r="K64" i="1"/>
  <c r="J64" i="1"/>
  <c r="I64" i="1"/>
  <c r="G64" i="1"/>
  <c r="F64" i="1"/>
  <c r="E64" i="1"/>
  <c r="D64" i="1"/>
  <c r="AB60" i="1"/>
  <c r="AA60" i="1"/>
  <c r="Z60" i="1"/>
  <c r="X60" i="1"/>
  <c r="W60" i="1"/>
  <c r="V60" i="1"/>
  <c r="U60" i="1"/>
  <c r="S60" i="1"/>
  <c r="R60" i="1"/>
  <c r="Q60" i="1"/>
  <c r="O60" i="1"/>
  <c r="N60" i="1"/>
  <c r="M60" i="1"/>
  <c r="K60" i="1"/>
  <c r="J60" i="1"/>
  <c r="I60" i="1"/>
  <c r="G60" i="1"/>
  <c r="F60" i="1"/>
  <c r="E60" i="1"/>
  <c r="D60" i="1"/>
  <c r="AB59" i="1"/>
  <c r="AA59" i="1"/>
  <c r="Z59" i="1"/>
  <c r="X59" i="1"/>
  <c r="W59" i="1"/>
  <c r="V59" i="1"/>
  <c r="U59" i="1"/>
  <c r="S59" i="1"/>
  <c r="R59" i="1"/>
  <c r="Q59" i="1"/>
  <c r="O59" i="1"/>
  <c r="N59" i="1"/>
  <c r="M59" i="1"/>
  <c r="K59" i="1"/>
  <c r="J59" i="1"/>
  <c r="I59" i="1"/>
  <c r="G59" i="1"/>
  <c r="F59" i="1"/>
  <c r="E59" i="1"/>
  <c r="D59" i="1"/>
  <c r="AB58" i="1"/>
  <c r="AA58" i="1"/>
  <c r="Z58" i="1"/>
  <c r="X58" i="1"/>
  <c r="W58" i="1"/>
  <c r="V58" i="1"/>
  <c r="U58" i="1"/>
  <c r="S58" i="1"/>
  <c r="R58" i="1"/>
  <c r="Q58" i="1"/>
  <c r="O58" i="1"/>
  <c r="N58" i="1"/>
  <c r="M58" i="1"/>
  <c r="K58" i="1"/>
  <c r="J58" i="1"/>
  <c r="I58" i="1"/>
  <c r="G58" i="1"/>
  <c r="F58" i="1"/>
  <c r="E58" i="1"/>
  <c r="D58" i="1"/>
  <c r="AB43" i="1"/>
  <c r="AA43" i="1"/>
  <c r="Z43" i="1"/>
  <c r="X43" i="1"/>
  <c r="W43" i="1"/>
  <c r="V43" i="1"/>
  <c r="U43" i="1"/>
  <c r="S43" i="1"/>
  <c r="R43" i="1"/>
  <c r="Q43" i="1"/>
  <c r="O43" i="1"/>
  <c r="N43" i="1"/>
  <c r="M43" i="1"/>
  <c r="K43" i="1"/>
  <c r="J43" i="1"/>
  <c r="I43" i="1"/>
  <c r="G43" i="1"/>
  <c r="F43" i="1"/>
  <c r="E43" i="1"/>
  <c r="D43" i="1"/>
  <c r="AB42" i="1"/>
  <c r="AA42" i="1"/>
  <c r="Z42" i="1"/>
  <c r="X42" i="1"/>
  <c r="W42" i="1"/>
  <c r="V42" i="1"/>
  <c r="U42" i="1"/>
  <c r="S42" i="1"/>
  <c r="R42" i="1"/>
  <c r="Q42" i="1"/>
  <c r="O42" i="1"/>
  <c r="N42" i="1"/>
  <c r="M42" i="1"/>
  <c r="K42" i="1"/>
  <c r="J42" i="1"/>
  <c r="I42" i="1"/>
  <c r="G42" i="1"/>
  <c r="F42" i="1"/>
  <c r="E42" i="1"/>
  <c r="D42" i="1"/>
  <c r="AB41" i="1"/>
  <c r="AA41" i="1"/>
  <c r="Z41" i="1"/>
  <c r="X41" i="1"/>
  <c r="W41" i="1"/>
  <c r="V41" i="1"/>
  <c r="U41" i="1"/>
  <c r="S41" i="1"/>
  <c r="R41" i="1"/>
  <c r="Q41" i="1"/>
  <c r="O41" i="1"/>
  <c r="N41" i="1"/>
  <c r="M41" i="1"/>
  <c r="K41" i="1"/>
  <c r="J41" i="1"/>
  <c r="I41" i="1"/>
  <c r="G41" i="1"/>
  <c r="F41" i="1"/>
  <c r="E41" i="1"/>
  <c r="D41" i="1"/>
  <c r="AB37" i="1"/>
  <c r="AA37" i="1"/>
  <c r="Z37" i="1"/>
  <c r="X37" i="1"/>
  <c r="W37" i="1"/>
  <c r="V37" i="1"/>
  <c r="U37" i="1"/>
  <c r="S37" i="1"/>
  <c r="R37" i="1"/>
  <c r="Q37" i="1"/>
  <c r="O37" i="1"/>
  <c r="N37" i="1"/>
  <c r="M37" i="1"/>
  <c r="K37" i="1"/>
  <c r="J37" i="1"/>
  <c r="I37" i="1"/>
  <c r="G37" i="1"/>
  <c r="F37" i="1"/>
  <c r="E37" i="1"/>
  <c r="D37" i="1"/>
  <c r="AB36" i="1"/>
  <c r="AA36" i="1"/>
  <c r="Z36" i="1"/>
  <c r="X36" i="1"/>
  <c r="W36" i="1"/>
  <c r="V36" i="1"/>
  <c r="U36" i="1"/>
  <c r="S36" i="1"/>
  <c r="R36" i="1"/>
  <c r="Q36" i="1"/>
  <c r="O36" i="1"/>
  <c r="N36" i="1"/>
  <c r="M36" i="1"/>
  <c r="K36" i="1"/>
  <c r="J36" i="1"/>
  <c r="I36" i="1"/>
  <c r="G36" i="1"/>
  <c r="F36" i="1"/>
  <c r="E36" i="1"/>
  <c r="D36" i="1"/>
  <c r="AB35" i="1"/>
  <c r="AA35" i="1"/>
  <c r="Z35" i="1"/>
  <c r="X35" i="1"/>
  <c r="W35" i="1"/>
  <c r="V35" i="1"/>
  <c r="U35" i="1"/>
  <c r="S35" i="1"/>
  <c r="R35" i="1"/>
  <c r="Q35" i="1"/>
  <c r="O35" i="1"/>
  <c r="N35" i="1"/>
  <c r="M35" i="1"/>
  <c r="K35" i="1"/>
  <c r="J35" i="1"/>
  <c r="I35" i="1"/>
  <c r="G35" i="1"/>
  <c r="F35" i="1"/>
  <c r="E35" i="1"/>
  <c r="D35" i="1"/>
  <c r="AB28" i="1"/>
  <c r="AA28" i="1"/>
  <c r="Z28" i="1"/>
  <c r="X28" i="1"/>
  <c r="W28" i="1"/>
  <c r="V28" i="1"/>
  <c r="U28" i="1"/>
  <c r="S28" i="1"/>
  <c r="R28" i="1"/>
  <c r="Q28" i="1"/>
  <c r="O28" i="1"/>
  <c r="N28" i="1"/>
  <c r="M28" i="1"/>
  <c r="K28" i="1"/>
  <c r="J28" i="1"/>
  <c r="I28" i="1"/>
  <c r="G28" i="1"/>
  <c r="F28" i="1"/>
  <c r="E28" i="1"/>
  <c r="D28" i="1"/>
  <c r="AB27" i="1"/>
  <c r="AA27" i="1"/>
  <c r="Z27" i="1"/>
  <c r="X27" i="1"/>
  <c r="W27" i="1"/>
  <c r="V27" i="1"/>
  <c r="U27" i="1"/>
  <c r="S27" i="1"/>
  <c r="R27" i="1"/>
  <c r="Q27" i="1"/>
  <c r="O27" i="1"/>
  <c r="N27" i="1"/>
  <c r="M27" i="1"/>
  <c r="K27" i="1"/>
  <c r="J27" i="1"/>
  <c r="I27" i="1"/>
  <c r="G27" i="1"/>
  <c r="F27" i="1"/>
  <c r="E27" i="1"/>
  <c r="D27" i="1"/>
  <c r="AB26" i="1"/>
  <c r="AA26" i="1"/>
  <c r="Z26" i="1"/>
  <c r="X26" i="1"/>
  <c r="W26" i="1"/>
  <c r="V26" i="1"/>
  <c r="U26" i="1"/>
  <c r="S26" i="1"/>
  <c r="R26" i="1"/>
  <c r="Q26" i="1"/>
  <c r="O26" i="1"/>
  <c r="N26" i="1"/>
  <c r="M26" i="1"/>
  <c r="K26" i="1"/>
  <c r="J26" i="1"/>
  <c r="I26" i="1"/>
  <c r="G26" i="1"/>
  <c r="F26" i="1"/>
  <c r="E26" i="1"/>
  <c r="D26" i="1"/>
  <c r="AB25" i="1"/>
  <c r="AA25" i="1"/>
  <c r="Z25" i="1"/>
  <c r="X25" i="1"/>
  <c r="W25" i="1"/>
  <c r="V25" i="1"/>
  <c r="U25" i="1"/>
  <c r="S25" i="1"/>
  <c r="R25" i="1"/>
  <c r="Q25" i="1"/>
  <c r="O25" i="1"/>
  <c r="N25" i="1"/>
  <c r="M25" i="1"/>
  <c r="K25" i="1"/>
  <c r="J25" i="1"/>
  <c r="I25" i="1"/>
  <c r="G25" i="1"/>
  <c r="F25" i="1"/>
  <c r="E25" i="1"/>
  <c r="D25" i="1"/>
  <c r="AB24" i="1"/>
  <c r="AA24" i="1"/>
  <c r="Z24" i="1"/>
  <c r="X24" i="1"/>
  <c r="W24" i="1"/>
  <c r="V24" i="1"/>
  <c r="U24" i="1"/>
  <c r="S24" i="1"/>
  <c r="R24" i="1"/>
  <c r="Q24" i="1"/>
  <c r="O24" i="1"/>
  <c r="N24" i="1"/>
  <c r="M24" i="1"/>
  <c r="K24" i="1"/>
  <c r="J24" i="1"/>
  <c r="I24" i="1"/>
  <c r="G24" i="1"/>
  <c r="F24" i="1"/>
  <c r="E24" i="1"/>
  <c r="D24" i="1"/>
  <c r="AB23" i="1"/>
  <c r="AA23" i="1"/>
  <c r="Z23" i="1"/>
  <c r="X23" i="1"/>
  <c r="W23" i="1"/>
  <c r="V23" i="1"/>
  <c r="U23" i="1"/>
  <c r="S23" i="1"/>
  <c r="R23" i="1"/>
  <c r="Q23" i="1"/>
  <c r="O23" i="1"/>
  <c r="N23" i="1"/>
  <c r="M23" i="1"/>
  <c r="K23" i="1"/>
  <c r="J23" i="1"/>
  <c r="I23" i="1"/>
  <c r="G23" i="1"/>
  <c r="F23" i="1"/>
  <c r="E23" i="1"/>
  <c r="D23" i="1"/>
  <c r="AB22" i="1"/>
  <c r="AA22" i="1"/>
  <c r="Z22" i="1"/>
  <c r="X22" i="1"/>
  <c r="W22" i="1"/>
  <c r="V22" i="1"/>
  <c r="U22" i="1"/>
  <c r="S22" i="1"/>
  <c r="R22" i="1"/>
  <c r="Q22" i="1"/>
  <c r="O22" i="1"/>
  <c r="N22" i="1"/>
  <c r="M22" i="1"/>
  <c r="K22" i="1"/>
  <c r="J22" i="1"/>
  <c r="I22" i="1"/>
  <c r="G22" i="1"/>
  <c r="F22" i="1"/>
  <c r="E22" i="1"/>
  <c r="D22" i="1"/>
  <c r="AB21" i="1"/>
  <c r="AA21" i="1"/>
  <c r="Z21" i="1"/>
  <c r="X21" i="1"/>
  <c r="W21" i="1"/>
  <c r="V21" i="1"/>
  <c r="U21" i="1"/>
  <c r="S21" i="1"/>
  <c r="R21" i="1"/>
  <c r="Q21" i="1"/>
  <c r="O21" i="1"/>
  <c r="N21" i="1"/>
  <c r="M21" i="1"/>
  <c r="K21" i="1"/>
  <c r="J21" i="1"/>
  <c r="I21" i="1"/>
  <c r="G21" i="1"/>
  <c r="F21" i="1"/>
  <c r="E21" i="1"/>
  <c r="D21" i="1"/>
  <c r="AB20" i="1"/>
  <c r="AA20" i="1"/>
  <c r="Z20" i="1"/>
  <c r="X20" i="1"/>
  <c r="W20" i="1"/>
  <c r="V20" i="1"/>
  <c r="U20" i="1"/>
  <c r="S20" i="1"/>
  <c r="R20" i="1"/>
  <c r="Q20" i="1"/>
  <c r="O20" i="1"/>
  <c r="N20" i="1"/>
  <c r="M20" i="1"/>
  <c r="K20" i="1"/>
  <c r="J20" i="1"/>
  <c r="I20" i="1"/>
  <c r="G20" i="1"/>
  <c r="F20" i="1"/>
  <c r="E20" i="1"/>
  <c r="D20" i="1"/>
  <c r="AB19" i="1"/>
  <c r="AA19" i="1"/>
  <c r="Z19" i="1"/>
  <c r="X19" i="1"/>
  <c r="W19" i="1"/>
  <c r="V19" i="1"/>
  <c r="U19" i="1"/>
  <c r="S19" i="1"/>
  <c r="R19" i="1"/>
  <c r="Q19" i="1"/>
  <c r="O19" i="1"/>
  <c r="N19" i="1"/>
  <c r="M19" i="1"/>
  <c r="K19" i="1"/>
  <c r="J19" i="1"/>
  <c r="I19" i="1"/>
  <c r="G19" i="1"/>
  <c r="F19" i="1"/>
  <c r="E19" i="1"/>
  <c r="D19" i="1"/>
  <c r="AB18" i="1"/>
  <c r="AA18" i="1"/>
  <c r="Z18" i="1"/>
  <c r="X18" i="1"/>
  <c r="W18" i="1"/>
  <c r="V18" i="1"/>
  <c r="U18" i="1"/>
  <c r="S18" i="1"/>
  <c r="R18" i="1"/>
  <c r="Q18" i="1"/>
  <c r="O18" i="1"/>
  <c r="N18" i="1"/>
  <c r="M18" i="1"/>
  <c r="K18" i="1"/>
  <c r="J18" i="1"/>
  <c r="I18" i="1"/>
  <c r="G18" i="1"/>
  <c r="F18" i="1"/>
  <c r="E18" i="1"/>
  <c r="D18" i="1"/>
  <c r="AB17" i="1"/>
  <c r="AA17" i="1"/>
  <c r="Z17" i="1"/>
  <c r="X17" i="1"/>
  <c r="W17" i="1"/>
  <c r="V17" i="1"/>
  <c r="U17" i="1"/>
  <c r="S17" i="1"/>
  <c r="R17" i="1"/>
  <c r="Q17" i="1"/>
  <c r="O17" i="1"/>
  <c r="N17" i="1"/>
  <c r="M17" i="1"/>
  <c r="K17" i="1"/>
  <c r="J17" i="1"/>
  <c r="I17" i="1"/>
  <c r="G17" i="1"/>
  <c r="F17" i="1"/>
  <c r="E17" i="1"/>
  <c r="D17" i="1"/>
  <c r="AB16" i="1"/>
  <c r="AA16" i="1"/>
  <c r="Z16" i="1"/>
  <c r="X16" i="1"/>
  <c r="W16" i="1"/>
  <c r="V16" i="1"/>
  <c r="U16" i="1"/>
  <c r="S16" i="1"/>
  <c r="R16" i="1"/>
  <c r="Q16" i="1"/>
  <c r="O16" i="1"/>
  <c r="N16" i="1"/>
  <c r="M16" i="1"/>
  <c r="K16" i="1"/>
  <c r="J16" i="1"/>
  <c r="I16" i="1"/>
  <c r="G16" i="1"/>
  <c r="F16" i="1"/>
  <c r="E16" i="1"/>
  <c r="D16" i="1"/>
  <c r="AB15" i="1"/>
  <c r="AA15" i="1"/>
  <c r="Z15" i="1"/>
  <c r="X15" i="1"/>
  <c r="W15" i="1"/>
  <c r="V15" i="1"/>
  <c r="U15" i="1"/>
  <c r="S15" i="1"/>
  <c r="R15" i="1"/>
  <c r="Q15" i="1"/>
  <c r="O15" i="1"/>
  <c r="N15" i="1"/>
  <c r="M15" i="1"/>
  <c r="K15" i="1"/>
  <c r="J15" i="1"/>
  <c r="I15" i="1"/>
  <c r="G15" i="1"/>
  <c r="F15" i="1"/>
  <c r="E15" i="1"/>
  <c r="D15" i="1"/>
  <c r="AB14" i="1"/>
  <c r="AA14" i="1"/>
  <c r="Z14" i="1"/>
  <c r="X14" i="1"/>
  <c r="W14" i="1"/>
  <c r="V14" i="1"/>
  <c r="U14" i="1"/>
  <c r="S14" i="1"/>
  <c r="R14" i="1"/>
  <c r="Q14" i="1"/>
  <c r="O14" i="1"/>
  <c r="N14" i="1"/>
  <c r="M14" i="1"/>
  <c r="K14" i="1"/>
  <c r="J14" i="1"/>
  <c r="I14" i="1"/>
  <c r="G14" i="1"/>
  <c r="F14" i="1"/>
  <c r="E14" i="1"/>
  <c r="D14" i="1"/>
  <c r="AB13" i="1"/>
  <c r="AA13" i="1"/>
  <c r="Z13" i="1"/>
  <c r="X13" i="1"/>
  <c r="W13" i="1"/>
  <c r="V13" i="1"/>
  <c r="U13" i="1"/>
  <c r="S13" i="1"/>
  <c r="R13" i="1"/>
  <c r="Q13" i="1"/>
  <c r="O13" i="1"/>
  <c r="N13" i="1"/>
  <c r="M13" i="1"/>
  <c r="K13" i="1"/>
  <c r="J13" i="1"/>
  <c r="I13" i="1"/>
  <c r="G13" i="1"/>
  <c r="F13" i="1"/>
  <c r="E13" i="1"/>
  <c r="D13" i="1"/>
  <c r="AB12" i="1"/>
  <c r="AA12" i="1"/>
  <c r="Z12" i="1"/>
  <c r="X12" i="1"/>
  <c r="W12" i="1"/>
  <c r="V12" i="1"/>
  <c r="U12" i="1"/>
  <c r="S12" i="1"/>
  <c r="R12" i="1"/>
  <c r="Q12" i="1"/>
  <c r="O12" i="1"/>
  <c r="N12" i="1"/>
  <c r="M12" i="1"/>
  <c r="K12" i="1"/>
  <c r="J12" i="1"/>
  <c r="I12" i="1"/>
  <c r="G12" i="1"/>
  <c r="F12" i="1"/>
  <c r="E12" i="1"/>
  <c r="D12" i="1"/>
  <c r="AB63" i="1"/>
  <c r="AB57" i="1"/>
  <c r="AB40" i="1"/>
  <c r="AB34" i="1"/>
  <c r="AB11" i="1"/>
  <c r="AA63" i="1"/>
  <c r="AA57" i="1"/>
  <c r="AA40" i="1"/>
  <c r="AA34" i="1"/>
  <c r="AA11" i="1"/>
  <c r="Z63" i="1"/>
  <c r="Z57" i="1"/>
  <c r="Z40" i="1"/>
  <c r="Z34" i="1"/>
  <c r="Z11" i="1"/>
  <c r="X63" i="1"/>
  <c r="X57" i="1"/>
  <c r="X40" i="1"/>
  <c r="X34" i="1"/>
  <c r="X11" i="1"/>
  <c r="W63" i="1"/>
  <c r="W57" i="1"/>
  <c r="W40" i="1"/>
  <c r="W34" i="1"/>
  <c r="W11" i="1"/>
  <c r="V63" i="1"/>
  <c r="V57" i="1"/>
  <c r="V40" i="1"/>
  <c r="V34" i="1"/>
  <c r="V11" i="1"/>
  <c r="U63" i="1"/>
  <c r="U57" i="1"/>
  <c r="U40" i="1"/>
  <c r="U34" i="1"/>
  <c r="U11" i="1"/>
  <c r="S63" i="1"/>
  <c r="S57" i="1"/>
  <c r="S40" i="1"/>
  <c r="S34" i="1"/>
  <c r="S11" i="1"/>
  <c r="R63" i="1"/>
  <c r="R57" i="1"/>
  <c r="R40" i="1"/>
  <c r="R34" i="1"/>
  <c r="R11" i="1"/>
  <c r="Q63" i="1"/>
  <c r="Q57" i="1"/>
  <c r="Q40" i="1"/>
  <c r="Q34" i="1"/>
  <c r="Q11" i="1"/>
  <c r="O63" i="1"/>
  <c r="O57" i="1"/>
  <c r="O40" i="1"/>
  <c r="O34" i="1"/>
  <c r="O11" i="1"/>
  <c r="N63" i="1"/>
  <c r="N57" i="1"/>
  <c r="N40" i="1"/>
  <c r="N34" i="1"/>
  <c r="N11" i="1"/>
  <c r="M63" i="1"/>
  <c r="M57" i="1"/>
  <c r="M40" i="1"/>
  <c r="M34" i="1"/>
  <c r="M11" i="1"/>
  <c r="K63" i="1"/>
  <c r="K57" i="1"/>
  <c r="K40" i="1"/>
  <c r="K34" i="1"/>
  <c r="K11" i="1"/>
  <c r="J63" i="1"/>
  <c r="J57" i="1"/>
  <c r="J40" i="1"/>
  <c r="J34" i="1"/>
  <c r="J11" i="1"/>
  <c r="I63" i="1"/>
  <c r="I57" i="1"/>
  <c r="I40" i="1"/>
  <c r="I34" i="1"/>
  <c r="I11" i="1"/>
  <c r="G63" i="1"/>
  <c r="G57" i="1"/>
  <c r="G40" i="1"/>
  <c r="G34" i="1"/>
  <c r="G11" i="1"/>
  <c r="F63" i="1"/>
  <c r="F57" i="1"/>
  <c r="F40" i="1"/>
  <c r="F34" i="1"/>
  <c r="F11" i="1"/>
  <c r="E63" i="1"/>
  <c r="E57" i="1"/>
  <c r="E40" i="1"/>
  <c r="E34" i="1"/>
  <c r="E11" i="1"/>
  <c r="D63" i="1"/>
  <c r="D57" i="1"/>
  <c r="D40" i="1"/>
  <c r="D34" i="1"/>
  <c r="D11" i="1"/>
  <c r="AB54" i="1"/>
  <c r="AB53" i="1"/>
  <c r="AB52" i="1"/>
  <c r="AA54" i="1"/>
  <c r="AA53" i="1"/>
  <c r="AA52" i="1"/>
  <c r="Z54" i="1"/>
  <c r="Z53" i="1"/>
  <c r="Z51" i="1"/>
  <c r="AB9" i="1"/>
  <c r="AB8" i="1"/>
  <c r="AB7" i="1"/>
  <c r="AA9" i="1"/>
  <c r="AA8" i="1"/>
  <c r="AA7" i="1"/>
  <c r="Z9" i="1"/>
  <c r="Z8" i="1"/>
  <c r="X54" i="1"/>
  <c r="X53" i="1"/>
  <c r="X52" i="1"/>
  <c r="W54" i="1"/>
  <c r="W53" i="1"/>
  <c r="W52" i="1"/>
  <c r="V54" i="1"/>
  <c r="V53" i="1"/>
  <c r="V52" i="1"/>
  <c r="U54" i="1"/>
  <c r="U53" i="1"/>
  <c r="U51" i="1"/>
  <c r="U6" i="1"/>
  <c r="X9" i="1"/>
  <c r="X8" i="1"/>
  <c r="X7" i="1"/>
  <c r="W9" i="1"/>
  <c r="W8" i="1"/>
  <c r="W7" i="1"/>
  <c r="V9" i="1"/>
  <c r="V8" i="1"/>
  <c r="V7" i="1"/>
  <c r="U9" i="1"/>
  <c r="U8" i="1"/>
  <c r="B48" i="1"/>
  <c r="B47" i="1"/>
  <c r="B46" i="1"/>
  <c r="B45" i="1"/>
  <c r="B3" i="4"/>
  <c r="S60" i="3"/>
  <c r="S59" i="3"/>
  <c r="S58" i="3"/>
  <c r="S57" i="3"/>
  <c r="AA5" i="4"/>
  <c r="S21" i="3"/>
  <c r="S20" i="3"/>
  <c r="S19" i="3"/>
  <c r="S35" i="3"/>
  <c r="S34" i="3"/>
  <c r="S33" i="3"/>
  <c r="S32" i="3"/>
  <c r="S18" i="3"/>
  <c r="S17" i="3"/>
  <c r="S16" i="3"/>
  <c r="S15" i="3"/>
  <c r="V5" i="4"/>
  <c r="B4" i="1"/>
  <c r="L43" i="2"/>
  <c r="X66" i="1"/>
  <c r="L45" i="2"/>
  <c r="L46" i="2"/>
  <c r="E50" i="2"/>
  <c r="J21" i="2"/>
  <c r="E49" i="2"/>
  <c r="E48" i="2"/>
  <c r="H48" i="2" s="1"/>
  <c r="E47" i="2"/>
  <c r="F31" i="2"/>
  <c r="G31" i="2"/>
  <c r="H31" i="2"/>
  <c r="I31" i="2"/>
  <c r="F30" i="2"/>
  <c r="G30" i="2" s="1"/>
  <c r="B57" i="2"/>
  <c r="C102" i="2"/>
  <c r="F73" i="2"/>
  <c r="I108" i="2"/>
  <c r="I104" i="2"/>
  <c r="J40" i="2"/>
  <c r="E51" i="2"/>
  <c r="J51" i="2" s="1"/>
  <c r="J22" i="2"/>
  <c r="I75" i="2"/>
  <c r="V66" i="1"/>
  <c r="I12" i="2"/>
  <c r="I13" i="2"/>
  <c r="I14" i="2"/>
  <c r="L47" i="2"/>
  <c r="M51" i="2" s="1"/>
  <c r="J47" i="2"/>
  <c r="E52" i="2"/>
  <c r="J23" i="2"/>
  <c r="C57" i="2"/>
  <c r="J25" i="2"/>
  <c r="K29" i="2" s="1"/>
  <c r="B53" i="2"/>
  <c r="J53" i="2" s="1"/>
  <c r="G78" i="2"/>
  <c r="G74" i="2"/>
  <c r="G80" i="2"/>
  <c r="G76" i="2"/>
  <c r="G27" i="2"/>
  <c r="H49" i="2"/>
  <c r="I53" i="2" s="1"/>
  <c r="B56" i="2"/>
  <c r="C54" i="2"/>
  <c r="H25" i="2"/>
  <c r="I25" i="2" s="1"/>
  <c r="C53" i="2"/>
  <c r="H53" i="2"/>
  <c r="H26" i="2"/>
  <c r="E53" i="2"/>
  <c r="J26" i="2"/>
  <c r="K30" i="2" s="1"/>
  <c r="E55" i="2"/>
  <c r="E54" i="2"/>
  <c r="J54" i="2" s="1"/>
  <c r="D52" i="2"/>
  <c r="L52" i="2" s="1"/>
  <c r="D51" i="2"/>
  <c r="L51" i="2"/>
  <c r="D50" i="2"/>
  <c r="L74" i="2"/>
  <c r="L76" i="2"/>
  <c r="B109" i="2"/>
  <c r="B110" i="2"/>
  <c r="F110" i="2" s="1"/>
  <c r="B111" i="2"/>
  <c r="C112" i="2"/>
  <c r="H112" i="2" s="1"/>
  <c r="B113" i="2"/>
  <c r="J113" i="2" s="1"/>
  <c r="C114" i="2"/>
  <c r="G136" i="2"/>
  <c r="G138" i="2"/>
  <c r="H74" i="2"/>
  <c r="F75" i="2"/>
  <c r="H76" i="2"/>
  <c r="I87" i="2"/>
  <c r="K140" i="2"/>
  <c r="K136" i="2"/>
  <c r="K138" i="2"/>
  <c r="F165" i="2"/>
  <c r="D54" i="2"/>
  <c r="L54" i="2"/>
  <c r="C55" i="2"/>
  <c r="H55" i="2"/>
  <c r="D55" i="2"/>
  <c r="L73" i="2"/>
  <c r="J74" i="2"/>
  <c r="L75" i="2"/>
  <c r="M75" i="2" s="1"/>
  <c r="J76" i="2"/>
  <c r="L77" i="2"/>
  <c r="J78" i="2"/>
  <c r="K82" i="2"/>
  <c r="L79" i="2"/>
  <c r="M83" i="2"/>
  <c r="H91" i="2"/>
  <c r="I91" i="2" s="1"/>
  <c r="E119" i="2"/>
  <c r="D119" i="2"/>
  <c r="L92" i="2"/>
  <c r="M92" i="2"/>
  <c r="G135" i="2"/>
  <c r="G137" i="2"/>
  <c r="C164" i="2"/>
  <c r="H164" i="2" s="1"/>
  <c r="H135" i="2"/>
  <c r="E118" i="2"/>
  <c r="D118" i="2"/>
  <c r="J88" i="2"/>
  <c r="K92" i="2"/>
  <c r="B115" i="2"/>
  <c r="F115" i="2" s="1"/>
  <c r="B117" i="2"/>
  <c r="B116" i="2"/>
  <c r="F88" i="2"/>
  <c r="G92" i="2"/>
  <c r="K135" i="2"/>
  <c r="K137" i="2"/>
  <c r="B118" i="2"/>
  <c r="E180" i="2"/>
  <c r="L135" i="2"/>
  <c r="H136" i="2"/>
  <c r="L136" i="2"/>
  <c r="H137" i="2"/>
  <c r="L137" i="2"/>
  <c r="H138" i="2"/>
  <c r="I138" i="2" s="1"/>
  <c r="L138" i="2"/>
  <c r="H139" i="2"/>
  <c r="J87" i="2"/>
  <c r="D173" i="2"/>
  <c r="C175" i="2"/>
  <c r="H175" i="2"/>
  <c r="D180" i="2"/>
  <c r="I203" i="2"/>
  <c r="I199" i="2"/>
  <c r="K200" i="2"/>
  <c r="F234" i="2"/>
  <c r="B176" i="2"/>
  <c r="B180" i="2"/>
  <c r="J197" i="2"/>
  <c r="J199" i="2"/>
  <c r="K203" i="2" s="1"/>
  <c r="J201" i="2"/>
  <c r="J203" i="2"/>
  <c r="K207" i="2" s="1"/>
  <c r="K217" i="2"/>
  <c r="F237" i="2"/>
  <c r="L215" i="2"/>
  <c r="B243" i="2"/>
  <c r="D239" i="2"/>
  <c r="B241" i="2"/>
  <c r="I262" i="2"/>
  <c r="K268" i="2"/>
  <c r="D177" i="2"/>
  <c r="B179" i="2"/>
  <c r="B178" i="2"/>
  <c r="F197" i="2"/>
  <c r="L197" i="2"/>
  <c r="B236" i="2"/>
  <c r="F236" i="2" s="1"/>
  <c r="C243" i="2"/>
  <c r="F243" i="2" s="1"/>
  <c r="L214" i="2"/>
  <c r="I261" i="2"/>
  <c r="K267" i="2"/>
  <c r="K263" i="2"/>
  <c r="C288" i="2"/>
  <c r="F259" i="2"/>
  <c r="B235" i="2"/>
  <c r="L235" i="2" s="1"/>
  <c r="F210" i="2"/>
  <c r="K270" i="2"/>
  <c r="K266" i="2"/>
  <c r="K211" i="2"/>
  <c r="K216" i="2"/>
  <c r="B242" i="2"/>
  <c r="I263" i="2"/>
  <c r="I259" i="2"/>
  <c r="K265" i="2"/>
  <c r="I289" i="2"/>
  <c r="I294" i="2"/>
  <c r="I290" i="2"/>
  <c r="F260" i="2"/>
  <c r="F261" i="2"/>
  <c r="F262" i="2"/>
  <c r="K277" i="2"/>
  <c r="K279" i="2"/>
  <c r="F290" i="2"/>
  <c r="F291" i="2"/>
  <c r="F293" i="2"/>
  <c r="F294" i="2"/>
  <c r="F295" i="2"/>
  <c r="G299" i="2"/>
  <c r="H299" i="2"/>
  <c r="F299" i="2"/>
  <c r="J299" i="2"/>
  <c r="L299" i="2"/>
  <c r="F304" i="2"/>
  <c r="G304" i="2" s="1"/>
  <c r="H304" i="2"/>
  <c r="F212" i="2"/>
  <c r="F213" i="2"/>
  <c r="B240" i="2"/>
  <c r="L262" i="2"/>
  <c r="M266" i="2" s="1"/>
  <c r="H264" i="2"/>
  <c r="I268" i="2"/>
  <c r="H265" i="2"/>
  <c r="H266" i="2"/>
  <c r="I270" i="2"/>
  <c r="H267" i="2"/>
  <c r="I271" i="2"/>
  <c r="I272" i="2"/>
  <c r="I274" i="2"/>
  <c r="I275" i="2"/>
  <c r="L298" i="2"/>
  <c r="M302" i="2"/>
  <c r="F300" i="2"/>
  <c r="L300" i="2"/>
  <c r="F37" i="5"/>
  <c r="H302" i="2"/>
  <c r="L99" i="5"/>
  <c r="L109" i="5"/>
  <c r="L111" i="5"/>
  <c r="L112" i="5"/>
  <c r="F12" i="5"/>
  <c r="F16" i="5"/>
  <c r="F20" i="5"/>
  <c r="D38" i="5"/>
  <c r="D42" i="5"/>
  <c r="B44" i="5"/>
  <c r="F44" i="5"/>
  <c r="D46" i="5"/>
  <c r="B48" i="5"/>
  <c r="F48" i="5"/>
  <c r="D50" i="5"/>
  <c r="B52" i="5"/>
  <c r="F52" i="5"/>
  <c r="D355" i="2"/>
  <c r="H355" i="2"/>
  <c r="L355" i="2"/>
  <c r="D356" i="2"/>
  <c r="H356" i="2"/>
  <c r="L356" i="2"/>
  <c r="D357" i="2"/>
  <c r="H357" i="2"/>
  <c r="L357" i="2"/>
  <c r="D358" i="2"/>
  <c r="H358" i="2"/>
  <c r="L358" i="2"/>
  <c r="D359" i="2"/>
  <c r="H359" i="2"/>
  <c r="L359" i="2"/>
  <c r="D360" i="2"/>
  <c r="H360" i="2"/>
  <c r="L360" i="2"/>
  <c r="D361" i="2"/>
  <c r="H361" i="2"/>
  <c r="L361" i="2"/>
  <c r="D362" i="2"/>
  <c r="H362" i="2"/>
  <c r="L362" i="2"/>
  <c r="D363" i="2"/>
  <c r="H363" i="2"/>
  <c r="L363" i="2"/>
  <c r="D364" i="2"/>
  <c r="H364" i="2"/>
  <c r="L364" i="2"/>
  <c r="D365" i="2"/>
  <c r="H365" i="2"/>
  <c r="L365" i="2"/>
  <c r="D366" i="2"/>
  <c r="H366" i="2"/>
  <c r="L366" i="2"/>
  <c r="D367" i="2"/>
  <c r="H367" i="2"/>
  <c r="F10" i="5"/>
  <c r="F14" i="5"/>
  <c r="F18" i="5"/>
  <c r="F22" i="5"/>
  <c r="G266" i="2"/>
  <c r="G262" i="2"/>
  <c r="L236" i="2"/>
  <c r="I136" i="2"/>
  <c r="I135" i="2"/>
  <c r="K80" i="2"/>
  <c r="K76" i="2"/>
  <c r="G212" i="2"/>
  <c r="G216" i="2"/>
  <c r="G265" i="2"/>
  <c r="G261" i="2"/>
  <c r="F178" i="2"/>
  <c r="L178" i="2"/>
  <c r="M137" i="2"/>
  <c r="M141" i="2"/>
  <c r="M135" i="2"/>
  <c r="M79" i="2"/>
  <c r="I76" i="2"/>
  <c r="I80" i="2"/>
  <c r="K40" i="2"/>
  <c r="M262" i="2"/>
  <c r="G294" i="2"/>
  <c r="G290" i="2"/>
  <c r="G264" i="2"/>
  <c r="G260" i="2"/>
  <c r="M201" i="2"/>
  <c r="M197" i="2"/>
  <c r="K199" i="2"/>
  <c r="J176" i="2"/>
  <c r="I141" i="2"/>
  <c r="I137" i="2"/>
  <c r="K78" i="2"/>
  <c r="K74" i="2"/>
  <c r="G165" i="2"/>
  <c r="G75" i="2"/>
  <c r="L111" i="2"/>
  <c r="M76" i="2"/>
  <c r="M80" i="2"/>
  <c r="J52" i="2"/>
  <c r="G77" i="2"/>
  <c r="G73" i="2"/>
  <c r="F57" i="2"/>
  <c r="L57" i="2"/>
  <c r="F240" i="2"/>
  <c r="I267" i="2"/>
  <c r="J242" i="2"/>
  <c r="F235" i="2"/>
  <c r="G263" i="2"/>
  <c r="G259" i="2"/>
  <c r="I266" i="2"/>
  <c r="K197" i="2"/>
  <c r="K201" i="2"/>
  <c r="M138" i="2"/>
  <c r="M142" i="2"/>
  <c r="M136" i="2"/>
  <c r="L118" i="2"/>
  <c r="K88" i="2"/>
  <c r="M73" i="2"/>
  <c r="L110" i="2"/>
  <c r="M74" i="2"/>
  <c r="F53" i="2"/>
  <c r="G57" i="2"/>
  <c r="K22" i="2"/>
  <c r="K26" i="2"/>
  <c r="K21" i="2"/>
  <c r="M43" i="2"/>
  <c r="M47" i="2"/>
  <c r="G240" i="2"/>
  <c r="M111" i="2"/>
  <c r="I40" i="2" l="1"/>
  <c r="J180" i="2"/>
  <c r="F180" i="2"/>
  <c r="G84" i="2"/>
  <c r="G88" i="2"/>
  <c r="I112" i="2"/>
  <c r="K56" i="2"/>
  <c r="I143" i="2"/>
  <c r="I139" i="2"/>
  <c r="K180" i="2"/>
  <c r="L180" i="2"/>
  <c r="J117" i="2"/>
  <c r="K117" i="2" s="1"/>
  <c r="F117" i="2"/>
  <c r="M77" i="2"/>
  <c r="M81" i="2"/>
  <c r="G210" i="2"/>
  <c r="G214" i="2"/>
  <c r="I168" i="2"/>
  <c r="I164" i="2"/>
  <c r="I265" i="2"/>
  <c r="J118" i="2"/>
  <c r="G295" i="2"/>
  <c r="G291" i="2"/>
  <c r="L241" i="2"/>
  <c r="K51" i="2"/>
  <c r="G42" i="2"/>
  <c r="G20" i="2"/>
  <c r="G16" i="2"/>
  <c r="I30" i="2"/>
  <c r="I26" i="2"/>
  <c r="K25" i="2"/>
  <c r="F51" i="2"/>
  <c r="H51" i="2"/>
  <c r="I55" i="2" s="1"/>
  <c r="F109" i="2"/>
  <c r="I29" i="2"/>
  <c r="F50" i="2"/>
  <c r="L50" i="2"/>
  <c r="J50" i="2"/>
  <c r="M140" i="2"/>
  <c r="H173" i="2"/>
  <c r="I177" i="2" s="1"/>
  <c r="G198" i="2"/>
  <c r="I74" i="2"/>
  <c r="G197" i="2"/>
  <c r="H54" i="2"/>
  <c r="I54" i="2" s="1"/>
  <c r="F54" i="2"/>
  <c r="K19" i="2"/>
  <c r="F40" i="2"/>
  <c r="L40" i="2"/>
  <c r="L105" i="2"/>
  <c r="F113" i="2"/>
  <c r="G117" i="2" s="1"/>
  <c r="H288" i="2"/>
  <c r="L243" i="2"/>
  <c r="K91" i="2"/>
  <c r="K87" i="2"/>
  <c r="I41" i="2"/>
  <c r="G85" i="2"/>
  <c r="F166" i="2"/>
  <c r="H178" i="2"/>
  <c r="M209" i="2"/>
  <c r="K75" i="2"/>
  <c r="H110" i="2"/>
  <c r="K13" i="2"/>
  <c r="H11" i="2"/>
  <c r="E102" i="2"/>
  <c r="H102" i="2" s="1"/>
  <c r="J73" i="2"/>
  <c r="E116" i="2"/>
  <c r="J116" i="2" s="1"/>
  <c r="E117" i="2"/>
  <c r="H117" i="2" s="1"/>
  <c r="I117" i="2" s="1"/>
  <c r="E114" i="2"/>
  <c r="H114" i="2" s="1"/>
  <c r="I118" i="2" s="1"/>
  <c r="L87" i="2"/>
  <c r="D114" i="2"/>
  <c r="H172" i="2"/>
  <c r="M151" i="2"/>
  <c r="H177" i="2"/>
  <c r="E227" i="2"/>
  <c r="J198" i="2"/>
  <c r="E234" i="2"/>
  <c r="H234" i="2" s="1"/>
  <c r="E231" i="2"/>
  <c r="H231" i="2" s="1"/>
  <c r="I235" i="2" s="1"/>
  <c r="H205" i="2"/>
  <c r="I209" i="2" s="1"/>
  <c r="E233" i="2"/>
  <c r="H233" i="2" s="1"/>
  <c r="D242" i="2"/>
  <c r="L242" i="2" s="1"/>
  <c r="E297" i="2"/>
  <c r="E298" i="2"/>
  <c r="J298" i="2" s="1"/>
  <c r="E296" i="2"/>
  <c r="E295" i="2"/>
  <c r="J295" i="2" s="1"/>
  <c r="K299" i="2" s="1"/>
  <c r="H269" i="2"/>
  <c r="I273" i="2" s="1"/>
  <c r="L303" i="2"/>
  <c r="M303" i="2" s="1"/>
  <c r="F303" i="2"/>
  <c r="G303" i="2" s="1"/>
  <c r="K16" i="2"/>
  <c r="K18" i="2"/>
  <c r="L20" i="2"/>
  <c r="M24" i="2" s="1"/>
  <c r="L28" i="2"/>
  <c r="M28" i="2" s="1"/>
  <c r="B41" i="2"/>
  <c r="B55" i="2"/>
  <c r="D53" i="2"/>
  <c r="L53" i="2" s="1"/>
  <c r="M57" i="2" s="1"/>
  <c r="H79" i="2"/>
  <c r="H85" i="2"/>
  <c r="I89" i="2" s="1"/>
  <c r="B104" i="2"/>
  <c r="L106" i="2"/>
  <c r="M110" i="2" s="1"/>
  <c r="J107" i="2"/>
  <c r="H93" i="2"/>
  <c r="I93" i="2" s="1"/>
  <c r="E115" i="2"/>
  <c r="F147" i="2"/>
  <c r="G151" i="2" s="1"/>
  <c r="J150" i="2"/>
  <c r="K154" i="2" s="1"/>
  <c r="E173" i="2"/>
  <c r="H155" i="2"/>
  <c r="F155" i="2"/>
  <c r="K215" i="2"/>
  <c r="D227" i="2"/>
  <c r="L199" i="2"/>
  <c r="D231" i="2"/>
  <c r="D234" i="2"/>
  <c r="L234" i="2" s="1"/>
  <c r="M211" i="2"/>
  <c r="D241" i="2"/>
  <c r="L212" i="2"/>
  <c r="M216" i="2" s="1"/>
  <c r="J103" i="2"/>
  <c r="L103" i="2"/>
  <c r="F90" i="2"/>
  <c r="G90" i="2" s="1"/>
  <c r="C119" i="2"/>
  <c r="H119" i="2" s="1"/>
  <c r="H90" i="2"/>
  <c r="I90" i="2" s="1"/>
  <c r="K148" i="2"/>
  <c r="H168" i="2"/>
  <c r="B170" i="2"/>
  <c r="F141" i="2"/>
  <c r="J141" i="2"/>
  <c r="B175" i="2"/>
  <c r="L146" i="2"/>
  <c r="M150" i="2" s="1"/>
  <c r="J146" i="2"/>
  <c r="K150" i="2" s="1"/>
  <c r="F146" i="2"/>
  <c r="G150" i="2" s="1"/>
  <c r="H154" i="2"/>
  <c r="I154" i="2" s="1"/>
  <c r="C181" i="2"/>
  <c r="L148" i="2"/>
  <c r="M152" i="2" s="1"/>
  <c r="B177" i="2"/>
  <c r="J148" i="2"/>
  <c r="I205" i="2"/>
  <c r="L202" i="2"/>
  <c r="M206" i="2" s="1"/>
  <c r="J202" i="2"/>
  <c r="K206" i="2" s="1"/>
  <c r="B231" i="2"/>
  <c r="D240" i="2"/>
  <c r="L240" i="2" s="1"/>
  <c r="M240" i="2" s="1"/>
  <c r="L211" i="2"/>
  <c r="M215" i="2" s="1"/>
  <c r="L17" i="2"/>
  <c r="M21" i="2" s="1"/>
  <c r="J27" i="2"/>
  <c r="C47" i="2"/>
  <c r="I85" i="2"/>
  <c r="B102" i="2"/>
  <c r="C106" i="2"/>
  <c r="C171" i="2"/>
  <c r="H171" i="2" s="1"/>
  <c r="I175" i="2" s="1"/>
  <c r="H142" i="2"/>
  <c r="C170" i="2"/>
  <c r="H170" i="2" s="1"/>
  <c r="B173" i="2"/>
  <c r="M155" i="2"/>
  <c r="E226" i="2"/>
  <c r="J226" i="2" s="1"/>
  <c r="H197" i="2"/>
  <c r="C229" i="2"/>
  <c r="H229" i="2" s="1"/>
  <c r="C228" i="2"/>
  <c r="H200" i="2"/>
  <c r="D233" i="2"/>
  <c r="H237" i="2"/>
  <c r="C242" i="2"/>
  <c r="D243" i="2"/>
  <c r="L293" i="2"/>
  <c r="F297" i="2"/>
  <c r="J297" i="2"/>
  <c r="L297" i="2"/>
  <c r="M301" i="2" s="1"/>
  <c r="L11" i="2"/>
  <c r="L12" i="2"/>
  <c r="L13" i="2"/>
  <c r="L14" i="2"/>
  <c r="L15" i="2"/>
  <c r="M19" i="2" s="1"/>
  <c r="L16" i="2"/>
  <c r="M20" i="2" s="1"/>
  <c r="F19" i="2"/>
  <c r="G23" i="2" s="1"/>
  <c r="C46" i="2"/>
  <c r="B49" i="2"/>
  <c r="L82" i="2"/>
  <c r="H88" i="2"/>
  <c r="D109" i="2"/>
  <c r="L109" i="2" s="1"/>
  <c r="M113" i="2" s="1"/>
  <c r="B112" i="2"/>
  <c r="J85" i="2"/>
  <c r="B114" i="2"/>
  <c r="B119" i="2"/>
  <c r="J142" i="2"/>
  <c r="I155" i="2"/>
  <c r="I151" i="2"/>
  <c r="C167" i="2"/>
  <c r="F140" i="2"/>
  <c r="C176" i="2"/>
  <c r="H152" i="2"/>
  <c r="E181" i="2"/>
  <c r="J181" i="2" s="1"/>
  <c r="J152" i="2"/>
  <c r="D176" i="2"/>
  <c r="L176" i="2" s="1"/>
  <c r="M180" i="2" s="1"/>
  <c r="D179" i="2"/>
  <c r="L179" i="2" s="1"/>
  <c r="D226" i="2"/>
  <c r="L226" i="2" s="1"/>
  <c r="H235" i="2"/>
  <c r="C241" i="2"/>
  <c r="C239" i="2"/>
  <c r="C238" i="2"/>
  <c r="H238" i="2" s="1"/>
  <c r="H212" i="2"/>
  <c r="I216" i="2" s="1"/>
  <c r="E241" i="2"/>
  <c r="J241" i="2" s="1"/>
  <c r="M272" i="2"/>
  <c r="H24" i="2"/>
  <c r="I28" i="2" s="1"/>
  <c r="L27" i="2"/>
  <c r="M31" i="2" s="1"/>
  <c r="E42" i="2"/>
  <c r="J42" i="2" s="1"/>
  <c r="C43" i="2"/>
  <c r="E44" i="2"/>
  <c r="C45" i="2"/>
  <c r="C52" i="2"/>
  <c r="D56" i="2"/>
  <c r="L56" i="2" s="1"/>
  <c r="M56" i="2" s="1"/>
  <c r="F24" i="2"/>
  <c r="I84" i="2"/>
  <c r="C103" i="2"/>
  <c r="C105" i="2"/>
  <c r="J106" i="2"/>
  <c r="K110" i="2" s="1"/>
  <c r="C107" i="2"/>
  <c r="D108" i="2"/>
  <c r="D116" i="2"/>
  <c r="L116" i="2" s="1"/>
  <c r="D113" i="2"/>
  <c r="L113" i="2" s="1"/>
  <c r="C116" i="2"/>
  <c r="D117" i="2"/>
  <c r="L117" i="2" s="1"/>
  <c r="L89" i="2"/>
  <c r="L86" i="2"/>
  <c r="M90" i="2" s="1"/>
  <c r="J86" i="2"/>
  <c r="J139" i="2"/>
  <c r="F148" i="2"/>
  <c r="M153" i="2"/>
  <c r="H165" i="2"/>
  <c r="B168" i="2"/>
  <c r="B172" i="2"/>
  <c r="J143" i="2"/>
  <c r="K147" i="2" s="1"/>
  <c r="F143" i="2"/>
  <c r="L143" i="2"/>
  <c r="M147" i="2" s="1"/>
  <c r="F151" i="2"/>
  <c r="G155" i="2" s="1"/>
  <c r="C180" i="2"/>
  <c r="H180" i="2" s="1"/>
  <c r="D181" i="2"/>
  <c r="L181" i="2" s="1"/>
  <c r="F202" i="2"/>
  <c r="G206" i="2" s="1"/>
  <c r="H213" i="2"/>
  <c r="E228" i="2"/>
  <c r="D229" i="2"/>
  <c r="E232" i="2"/>
  <c r="H232" i="2" s="1"/>
  <c r="B233" i="2"/>
  <c r="H206" i="2"/>
  <c r="I210" i="2" s="1"/>
  <c r="H208" i="2"/>
  <c r="I212" i="2" s="1"/>
  <c r="E237" i="2"/>
  <c r="J237" i="2" s="1"/>
  <c r="K241" i="2" s="1"/>
  <c r="D238" i="2"/>
  <c r="K271" i="2"/>
  <c r="L291" i="2"/>
  <c r="J291" i="2"/>
  <c r="F11" i="2"/>
  <c r="F13" i="2"/>
  <c r="F14" i="2"/>
  <c r="H19" i="2"/>
  <c r="I23" i="2" s="1"/>
  <c r="E43" i="2"/>
  <c r="J43" i="2" s="1"/>
  <c r="B48" i="2"/>
  <c r="L78" i="2"/>
  <c r="E105" i="2"/>
  <c r="J105" i="2" s="1"/>
  <c r="E107" i="2"/>
  <c r="B108" i="2"/>
  <c r="C111" i="2"/>
  <c r="D112" i="2"/>
  <c r="H148" i="2"/>
  <c r="I152" i="2" s="1"/>
  <c r="F154" i="2"/>
  <c r="G154" i="2" s="1"/>
  <c r="K155" i="2"/>
  <c r="E167" i="2"/>
  <c r="H146" i="2"/>
  <c r="I150" i="2" s="1"/>
  <c r="C174" i="2"/>
  <c r="H174" i="2" s="1"/>
  <c r="E179" i="2"/>
  <c r="J179" i="2" s="1"/>
  <c r="J205" i="2"/>
  <c r="K212" i="2"/>
  <c r="F200" i="2"/>
  <c r="B229" i="2"/>
  <c r="L200" i="2"/>
  <c r="D232" i="2"/>
  <c r="F204" i="2"/>
  <c r="G208" i="2" s="1"/>
  <c r="J204" i="2"/>
  <c r="E235" i="2"/>
  <c r="J235" i="2" s="1"/>
  <c r="E236" i="2"/>
  <c r="D237" i="2"/>
  <c r="L237" i="2" s="1"/>
  <c r="B238" i="2"/>
  <c r="F209" i="2"/>
  <c r="G213" i="2" s="1"/>
  <c r="L209" i="2"/>
  <c r="M213" i="2" s="1"/>
  <c r="J209" i="2"/>
  <c r="K213" i="2" s="1"/>
  <c r="E239" i="2"/>
  <c r="D42" i="2"/>
  <c r="L42" i="2" s="1"/>
  <c r="C56" i="2"/>
  <c r="E57" i="2"/>
  <c r="H73" i="2"/>
  <c r="F79" i="2"/>
  <c r="D105" i="2"/>
  <c r="J79" i="2"/>
  <c r="K83" i="2" s="1"/>
  <c r="E111" i="2"/>
  <c r="J111" i="2" s="1"/>
  <c r="E110" i="2"/>
  <c r="J110" i="2" s="1"/>
  <c r="E109" i="2"/>
  <c r="H109" i="2" s="1"/>
  <c r="I113" i="2" s="1"/>
  <c r="C118" i="2"/>
  <c r="H118" i="2" s="1"/>
  <c r="D115" i="2"/>
  <c r="L115" i="2" s="1"/>
  <c r="E165" i="2"/>
  <c r="J165" i="2" s="1"/>
  <c r="D167" i="2"/>
  <c r="D166" i="2"/>
  <c r="L166" i="2" s="1"/>
  <c r="D165" i="2"/>
  <c r="L165" i="2" s="1"/>
  <c r="H140" i="2"/>
  <c r="C169" i="2"/>
  <c r="H169" i="2" s="1"/>
  <c r="I173" i="2" s="1"/>
  <c r="B171" i="2"/>
  <c r="F142" i="2"/>
  <c r="H149" i="2"/>
  <c r="F149" i="2"/>
  <c r="G153" i="2" s="1"/>
  <c r="I207" i="2"/>
  <c r="M212" i="2"/>
  <c r="H198" i="2"/>
  <c r="C227" i="2"/>
  <c r="H227" i="2" s="1"/>
  <c r="C230" i="2"/>
  <c r="H230" i="2" s="1"/>
  <c r="F201" i="2"/>
  <c r="G205" i="2" s="1"/>
  <c r="L203" i="2"/>
  <c r="M207" i="2" s="1"/>
  <c r="B232" i="2"/>
  <c r="K210" i="2"/>
  <c r="H217" i="2"/>
  <c r="F217" i="2"/>
  <c r="G217" i="2" s="1"/>
  <c r="B239" i="2"/>
  <c r="L210" i="2"/>
  <c r="J210" i="2"/>
  <c r="K214" i="2" s="1"/>
  <c r="B167" i="2"/>
  <c r="D168" i="2"/>
  <c r="M205" i="2"/>
  <c r="B230" i="2"/>
  <c r="E243" i="2"/>
  <c r="J243" i="2" s="1"/>
  <c r="K272" i="2"/>
  <c r="B289" i="2"/>
  <c r="B288" i="2"/>
  <c r="J260" i="2"/>
  <c r="H78" i="2"/>
  <c r="I82" i="2" s="1"/>
  <c r="L140" i="2"/>
  <c r="M144" i="2" s="1"/>
  <c r="B164" i="2"/>
  <c r="E166" i="2"/>
  <c r="J166" i="2" s="1"/>
  <c r="F139" i="2"/>
  <c r="E172" i="2"/>
  <c r="H144" i="2"/>
  <c r="F199" i="2"/>
  <c r="B228" i="2"/>
  <c r="M267" i="2"/>
  <c r="H293" i="2"/>
  <c r="L139" i="2"/>
  <c r="J145" i="2"/>
  <c r="K149" i="2" s="1"/>
  <c r="B169" i="2"/>
  <c r="B174" i="2"/>
  <c r="E178" i="2"/>
  <c r="J178" i="2" s="1"/>
  <c r="B227" i="2"/>
  <c r="L198" i="2"/>
  <c r="E240" i="2"/>
  <c r="J240" i="2" s="1"/>
  <c r="M265" i="2"/>
  <c r="G275" i="2"/>
  <c r="L296" i="2"/>
  <c r="M300" i="2" s="1"/>
  <c r="J296" i="2"/>
  <c r="C226" i="2"/>
  <c r="G270" i="2"/>
  <c r="G278" i="2"/>
  <c r="M279" i="2"/>
  <c r="L290" i="2"/>
  <c r="J290" i="2"/>
  <c r="I291" i="2"/>
  <c r="H297" i="2"/>
  <c r="I301" i="2" s="1"/>
  <c r="C179" i="2"/>
  <c r="H179" i="2" s="1"/>
  <c r="I179" i="2" s="1"/>
  <c r="H260" i="2"/>
  <c r="L295" i="2"/>
  <c r="M299" i="2" s="1"/>
  <c r="C296" i="2"/>
  <c r="B42" i="5"/>
  <c r="F42" i="5" s="1"/>
  <c r="F68" i="5"/>
  <c r="D96" i="5"/>
  <c r="D100" i="5"/>
  <c r="F100" i="5" s="1"/>
  <c r="D101" i="5"/>
  <c r="F73" i="5"/>
  <c r="F267" i="2"/>
  <c r="G271" i="2" s="1"/>
  <c r="J269" i="2"/>
  <c r="L271" i="2"/>
  <c r="M275" i="2" s="1"/>
  <c r="B292" i="2"/>
  <c r="E293" i="2"/>
  <c r="J293" i="2" s="1"/>
  <c r="K297" i="2" s="1"/>
  <c r="L294" i="2"/>
  <c r="M298" i="2" s="1"/>
  <c r="C298" i="2"/>
  <c r="E303" i="2"/>
  <c r="H303" i="2" s="1"/>
  <c r="I303" i="2" s="1"/>
  <c r="C305" i="2"/>
  <c r="B49" i="5"/>
  <c r="F49" i="5" s="1"/>
  <c r="F21" i="5"/>
  <c r="B96" i="5"/>
  <c r="F96" i="5" s="1"/>
  <c r="H105" i="5"/>
  <c r="L105" i="5" s="1"/>
  <c r="F82" i="5"/>
  <c r="B110" i="5"/>
  <c r="F110" i="5" s="1"/>
  <c r="E288" i="2"/>
  <c r="E292" i="2"/>
  <c r="H292" i="2" s="1"/>
  <c r="F40" i="5"/>
  <c r="B43" i="5"/>
  <c r="F43" i="5" s="1"/>
  <c r="F15" i="5"/>
  <c r="H96" i="5"/>
  <c r="L96" i="5" s="1"/>
  <c r="L68" i="5"/>
  <c r="E305" i="2"/>
  <c r="J305" i="2" s="1"/>
  <c r="L70" i="5"/>
  <c r="J98" i="5"/>
  <c r="L98" i="5" s="1"/>
  <c r="J102" i="5"/>
  <c r="L102" i="5" s="1"/>
  <c r="L75" i="5"/>
  <c r="J103" i="5"/>
  <c r="L103" i="5" s="1"/>
  <c r="L79" i="5"/>
  <c r="H107" i="5"/>
  <c r="L107" i="5" s="1"/>
  <c r="B41" i="5"/>
  <c r="F41" i="5" s="1"/>
  <c r="F19" i="5"/>
  <c r="B47" i="5"/>
  <c r="F47" i="5" s="1"/>
  <c r="B46" i="5"/>
  <c r="F46" i="5" s="1"/>
  <c r="F51" i="5"/>
  <c r="F105" i="5"/>
  <c r="B109" i="5"/>
  <c r="F109" i="5" s="1"/>
  <c r="D305" i="2"/>
  <c r="L305" i="2" s="1"/>
  <c r="D304" i="2"/>
  <c r="L304" i="2" s="1"/>
  <c r="M304" i="2" s="1"/>
  <c r="L301" i="2"/>
  <c r="B97" i="5"/>
  <c r="F97" i="5" s="1"/>
  <c r="D99" i="5"/>
  <c r="J100" i="5"/>
  <c r="L100" i="5" s="1"/>
  <c r="F102" i="5"/>
  <c r="F113" i="5"/>
  <c r="F302" i="2"/>
  <c r="E300" i="2"/>
  <c r="H301" i="2"/>
  <c r="J301" i="2"/>
  <c r="J97" i="5"/>
  <c r="L97" i="5" s="1"/>
  <c r="B98" i="5"/>
  <c r="F98" i="5" s="1"/>
  <c r="F71" i="5"/>
  <c r="B99" i="5"/>
  <c r="F99" i="5" s="1"/>
  <c r="H106" i="5"/>
  <c r="L106" i="5" s="1"/>
  <c r="B108" i="5"/>
  <c r="F108" i="5" s="1"/>
  <c r="L113" i="5"/>
  <c r="C324" i="2"/>
  <c r="K324" i="2"/>
  <c r="G325" i="2"/>
  <c r="C326" i="2"/>
  <c r="K326" i="2"/>
  <c r="G327" i="2"/>
  <c r="C328" i="2"/>
  <c r="K328" i="2"/>
  <c r="G329" i="2"/>
  <c r="C330" i="2"/>
  <c r="K330" i="2"/>
  <c r="G331" i="2"/>
  <c r="C332" i="2"/>
  <c r="K332" i="2"/>
  <c r="G333" i="2"/>
  <c r="C334" i="2"/>
  <c r="K334" i="2"/>
  <c r="G335" i="2"/>
  <c r="C336" i="2"/>
  <c r="K336" i="2"/>
  <c r="G337" i="2"/>
  <c r="C338" i="2"/>
  <c r="K338" i="2"/>
  <c r="G339" i="2"/>
  <c r="C340" i="2"/>
  <c r="K340" i="2"/>
  <c r="G341" i="2"/>
  <c r="C350" i="2"/>
  <c r="K350" i="2"/>
  <c r="G351" i="2"/>
  <c r="C352" i="2"/>
  <c r="K352" i="2"/>
  <c r="G353" i="2"/>
  <c r="C354" i="2"/>
  <c r="K354" i="2"/>
  <c r="I355" i="2"/>
  <c r="G356" i="2"/>
  <c r="F357" i="2"/>
  <c r="E358" i="2"/>
  <c r="C359" i="2"/>
  <c r="B360" i="2"/>
  <c r="M360" i="2"/>
  <c r="K361" i="2"/>
  <c r="J362" i="2"/>
  <c r="I363" i="2"/>
  <c r="G364" i="2"/>
  <c r="F365" i="2"/>
  <c r="E366" i="2"/>
  <c r="C367" i="2"/>
  <c r="L367" i="2"/>
  <c r="H101" i="5"/>
  <c r="L101" i="5" s="1"/>
  <c r="B104" i="5"/>
  <c r="F104" i="5" s="1"/>
  <c r="D106" i="5"/>
  <c r="F106" i="5" s="1"/>
  <c r="F25" i="5"/>
  <c r="C321" i="2"/>
  <c r="K321" i="2"/>
  <c r="G322" i="2"/>
  <c r="C323" i="2"/>
  <c r="K323" i="2"/>
  <c r="G324" i="2"/>
  <c r="C325" i="2"/>
  <c r="K325" i="2"/>
  <c r="G326" i="2"/>
  <c r="C327" i="2"/>
  <c r="K327" i="2"/>
  <c r="G328" i="2"/>
  <c r="C329" i="2"/>
  <c r="K329" i="2"/>
  <c r="G330" i="2"/>
  <c r="C331" i="2"/>
  <c r="K331" i="2"/>
  <c r="G332" i="2"/>
  <c r="C333" i="2"/>
  <c r="K333" i="2"/>
  <c r="G334" i="2"/>
  <c r="C335" i="2"/>
  <c r="K335" i="2"/>
  <c r="G336" i="2"/>
  <c r="C337" i="2"/>
  <c r="K337" i="2"/>
  <c r="G338" i="2"/>
  <c r="C339" i="2"/>
  <c r="K339" i="2"/>
  <c r="G340" i="2"/>
  <c r="C341" i="2"/>
  <c r="K341" i="2"/>
  <c r="G350" i="2"/>
  <c r="C351" i="2"/>
  <c r="K351" i="2"/>
  <c r="G352" i="2"/>
  <c r="C353" i="2"/>
  <c r="K353" i="2"/>
  <c r="G354" i="2"/>
  <c r="C355" i="2"/>
  <c r="B356" i="2"/>
  <c r="M356" i="2"/>
  <c r="K357" i="2"/>
  <c r="J358" i="2"/>
  <c r="I359" i="2"/>
  <c r="G360" i="2"/>
  <c r="F361" i="2"/>
  <c r="E362" i="2"/>
  <c r="C363" i="2"/>
  <c r="B364" i="2"/>
  <c r="M364" i="2"/>
  <c r="K365" i="2"/>
  <c r="J366" i="2"/>
  <c r="I367" i="2"/>
  <c r="F13" i="5"/>
  <c r="D45" i="5"/>
  <c r="F45" i="5" s="1"/>
  <c r="B101" i="5"/>
  <c r="F101" i="5" s="1"/>
  <c r="D103" i="5"/>
  <c r="F103" i="5" s="1"/>
  <c r="D321" i="2"/>
  <c r="L321" i="2"/>
  <c r="H322" i="2"/>
  <c r="D323" i="2"/>
  <c r="L323" i="2"/>
  <c r="H324" i="2"/>
  <c r="D325" i="2"/>
  <c r="L325" i="2"/>
  <c r="H326" i="2"/>
  <c r="D327" i="2"/>
  <c r="L327" i="2"/>
  <c r="H328" i="2"/>
  <c r="D329" i="2"/>
  <c r="L329" i="2"/>
  <c r="H330" i="2"/>
  <c r="D331" i="2"/>
  <c r="L331" i="2"/>
  <c r="H332" i="2"/>
  <c r="D333" i="2"/>
  <c r="L333" i="2"/>
  <c r="H334" i="2"/>
  <c r="D335" i="2"/>
  <c r="L335" i="2"/>
  <c r="H336" i="2"/>
  <c r="D337" i="2"/>
  <c r="L337" i="2"/>
  <c r="H338" i="2"/>
  <c r="D339" i="2"/>
  <c r="L339" i="2"/>
  <c r="H340" i="2"/>
  <c r="D341" i="2"/>
  <c r="L341" i="2"/>
  <c r="H350" i="2"/>
  <c r="D351" i="2"/>
  <c r="L351" i="2"/>
  <c r="H352" i="2"/>
  <c r="D353" i="2"/>
  <c r="L353" i="2"/>
  <c r="H354" i="2"/>
  <c r="E355" i="2"/>
  <c r="C356" i="2"/>
  <c r="B357" i="2"/>
  <c r="M357" i="2"/>
  <c r="K358" i="2"/>
  <c r="J359" i="2"/>
  <c r="I360" i="2"/>
  <c r="G361" i="2"/>
  <c r="F362" i="2"/>
  <c r="E363" i="2"/>
  <c r="C364" i="2"/>
  <c r="B365" i="2"/>
  <c r="M365" i="2"/>
  <c r="K366" i="2"/>
  <c r="J367" i="2"/>
  <c r="B38" i="5"/>
  <c r="F38" i="5" s="1"/>
  <c r="B50" i="5"/>
  <c r="F50" i="5" s="1"/>
  <c r="E321" i="2"/>
  <c r="M321" i="2"/>
  <c r="I322" i="2"/>
  <c r="E323" i="2"/>
  <c r="M323" i="2"/>
  <c r="I324" i="2"/>
  <c r="E325" i="2"/>
  <c r="M325" i="2"/>
  <c r="I326" i="2"/>
  <c r="E327" i="2"/>
  <c r="M327" i="2"/>
  <c r="I328" i="2"/>
  <c r="E329" i="2"/>
  <c r="M329" i="2"/>
  <c r="I330" i="2"/>
  <c r="E331" i="2"/>
  <c r="M331" i="2"/>
  <c r="I332" i="2"/>
  <c r="E333" i="2"/>
  <c r="M333" i="2"/>
  <c r="I334" i="2"/>
  <c r="E335" i="2"/>
  <c r="M335" i="2"/>
  <c r="I336" i="2"/>
  <c r="E337" i="2"/>
  <c r="M337" i="2"/>
  <c r="I338" i="2"/>
  <c r="E339" i="2"/>
  <c r="M339" i="2"/>
  <c r="I340" i="2"/>
  <c r="E341" i="2"/>
  <c r="M341" i="2"/>
  <c r="I350" i="2"/>
  <c r="E351" i="2"/>
  <c r="M351" i="2"/>
  <c r="I352" i="2"/>
  <c r="E353" i="2"/>
  <c r="M353" i="2"/>
  <c r="I354" i="2"/>
  <c r="F355" i="2"/>
  <c r="E356" i="2"/>
  <c r="C357" i="2"/>
  <c r="B358" i="2"/>
  <c r="M358" i="2"/>
  <c r="K359" i="2"/>
  <c r="J360" i="2"/>
  <c r="I361" i="2"/>
  <c r="G362" i="2"/>
  <c r="F363" i="2"/>
  <c r="E364" i="2"/>
  <c r="C365" i="2"/>
  <c r="B366" i="2"/>
  <c r="M366" i="2"/>
  <c r="K367" i="2"/>
  <c r="F321" i="2"/>
  <c r="B322" i="2"/>
  <c r="J322" i="2"/>
  <c r="F323" i="2"/>
  <c r="B324" i="2"/>
  <c r="J324" i="2"/>
  <c r="F325" i="2"/>
  <c r="B326" i="2"/>
  <c r="J326" i="2"/>
  <c r="F327" i="2"/>
  <c r="B328" i="2"/>
  <c r="J328" i="2"/>
  <c r="F329" i="2"/>
  <c r="B330" i="2"/>
  <c r="J330" i="2"/>
  <c r="F331" i="2"/>
  <c r="B332" i="2"/>
  <c r="J332" i="2"/>
  <c r="F333" i="2"/>
  <c r="B334" i="2"/>
  <c r="J334" i="2"/>
  <c r="F335" i="2"/>
  <c r="B336" i="2"/>
  <c r="J336" i="2"/>
  <c r="F337" i="2"/>
  <c r="B338" i="2"/>
  <c r="J338" i="2"/>
  <c r="F339" i="2"/>
  <c r="B340" i="2"/>
  <c r="J340" i="2"/>
  <c r="F341" i="2"/>
  <c r="B350" i="2"/>
  <c r="J350" i="2"/>
  <c r="F351" i="2"/>
  <c r="B352" i="2"/>
  <c r="J352" i="2"/>
  <c r="F353" i="2"/>
  <c r="B354" i="2"/>
  <c r="J354" i="2"/>
  <c r="G355" i="2"/>
  <c r="F356" i="2"/>
  <c r="E357" i="2"/>
  <c r="C358" i="2"/>
  <c r="B359" i="2"/>
  <c r="M359" i="2"/>
  <c r="K360" i="2"/>
  <c r="J361" i="2"/>
  <c r="I362" i="2"/>
  <c r="G363" i="2"/>
  <c r="F364" i="2"/>
  <c r="E365" i="2"/>
  <c r="C366" i="2"/>
  <c r="B367" i="2"/>
  <c r="M226" i="2" l="1"/>
  <c r="K105" i="2"/>
  <c r="K109" i="2"/>
  <c r="M115" i="2"/>
  <c r="J292" i="2"/>
  <c r="K296" i="2" s="1"/>
  <c r="L292" i="2"/>
  <c r="M296" i="2" s="1"/>
  <c r="F292" i="2"/>
  <c r="I260" i="2"/>
  <c r="I264" i="2"/>
  <c r="I297" i="2"/>
  <c r="I293" i="2"/>
  <c r="J164" i="2"/>
  <c r="F164" i="2"/>
  <c r="L164" i="2"/>
  <c r="J239" i="2"/>
  <c r="K243" i="2" s="1"/>
  <c r="F239" i="2"/>
  <c r="L239" i="2"/>
  <c r="I231" i="2"/>
  <c r="I227" i="2"/>
  <c r="H56" i="2"/>
  <c r="F56" i="2"/>
  <c r="H236" i="2"/>
  <c r="J236" i="2"/>
  <c r="K240" i="2" s="1"/>
  <c r="K47" i="2"/>
  <c r="K43" i="2"/>
  <c r="I217" i="2"/>
  <c r="I213" i="2"/>
  <c r="H44" i="2"/>
  <c r="J44" i="2"/>
  <c r="K146" i="2"/>
  <c r="K142" i="2"/>
  <c r="F49" i="2"/>
  <c r="G53" i="2" s="1"/>
  <c r="L49" i="2"/>
  <c r="J49" i="2"/>
  <c r="M15" i="2"/>
  <c r="M11" i="2"/>
  <c r="K226" i="2"/>
  <c r="J102" i="2"/>
  <c r="F102" i="2"/>
  <c r="L102" i="2"/>
  <c r="H240" i="2"/>
  <c r="H181" i="2"/>
  <c r="I181" i="2" s="1"/>
  <c r="F181" i="2"/>
  <c r="L170" i="2"/>
  <c r="F170" i="2"/>
  <c r="J170" i="2"/>
  <c r="K103" i="2"/>
  <c r="K107" i="2"/>
  <c r="I237" i="2"/>
  <c r="I15" i="2"/>
  <c r="I11" i="2"/>
  <c r="M105" i="2"/>
  <c r="M109" i="2"/>
  <c r="I305" i="2"/>
  <c r="M305" i="2"/>
  <c r="I208" i="2"/>
  <c r="M202" i="2"/>
  <c r="M198" i="2"/>
  <c r="F230" i="2"/>
  <c r="G234" i="2" s="1"/>
  <c r="L230" i="2"/>
  <c r="M234" i="2" s="1"/>
  <c r="J230" i="2"/>
  <c r="I198" i="2"/>
  <c r="I202" i="2"/>
  <c r="I144" i="2"/>
  <c r="K114" i="2"/>
  <c r="M42" i="2"/>
  <c r="M46" i="2"/>
  <c r="K239" i="2"/>
  <c r="K209" i="2"/>
  <c r="K205" i="2"/>
  <c r="G209" i="2"/>
  <c r="J172" i="2"/>
  <c r="K176" i="2" s="1"/>
  <c r="F172" i="2"/>
  <c r="G176" i="2" s="1"/>
  <c r="L172" i="2"/>
  <c r="M176" i="2" s="1"/>
  <c r="M93" i="2"/>
  <c r="M89" i="2"/>
  <c r="H105" i="2"/>
  <c r="F105" i="2"/>
  <c r="H43" i="2"/>
  <c r="F43" i="2"/>
  <c r="H239" i="2"/>
  <c r="F119" i="2"/>
  <c r="G119" i="2" s="1"/>
  <c r="L119" i="2"/>
  <c r="M119" i="2" s="1"/>
  <c r="J119" i="2"/>
  <c r="H46" i="2"/>
  <c r="I50" i="2" s="1"/>
  <c r="F46" i="2"/>
  <c r="H242" i="2"/>
  <c r="I242" i="2" s="1"/>
  <c r="F242" i="2"/>
  <c r="L231" i="2"/>
  <c r="M235" i="2" s="1"/>
  <c r="F231" i="2"/>
  <c r="G235" i="2" s="1"/>
  <c r="J231" i="2"/>
  <c r="K235" i="2" s="1"/>
  <c r="I172" i="2"/>
  <c r="M203" i="2"/>
  <c r="M199" i="2"/>
  <c r="H115" i="2"/>
  <c r="I119" i="2" s="1"/>
  <c r="J115" i="2"/>
  <c r="K119" i="2" s="1"/>
  <c r="F55" i="2"/>
  <c r="G55" i="2" s="1"/>
  <c r="L55" i="2"/>
  <c r="M55" i="2" s="1"/>
  <c r="J55" i="2"/>
  <c r="K55" i="2" s="1"/>
  <c r="I206" i="2"/>
  <c r="M44" i="2"/>
  <c r="M40" i="2"/>
  <c r="H243" i="2"/>
  <c r="I269" i="2"/>
  <c r="J227" i="2"/>
  <c r="F227" i="2"/>
  <c r="L227" i="2"/>
  <c r="M165" i="2"/>
  <c r="H103" i="2"/>
  <c r="F103" i="2"/>
  <c r="M91" i="2"/>
  <c r="M87" i="2"/>
  <c r="G44" i="2"/>
  <c r="G40" i="2"/>
  <c r="K54" i="2"/>
  <c r="K50" i="2"/>
  <c r="G19" i="2"/>
  <c r="H226" i="2"/>
  <c r="F226" i="2"/>
  <c r="G13" i="2"/>
  <c r="G17" i="2"/>
  <c r="I169" i="2"/>
  <c r="I165" i="2"/>
  <c r="K301" i="2"/>
  <c r="I238" i="2"/>
  <c r="K79" i="2"/>
  <c r="H296" i="2"/>
  <c r="F296" i="2"/>
  <c r="G300" i="2" s="1"/>
  <c r="F174" i="2"/>
  <c r="G178" i="2" s="1"/>
  <c r="L174" i="2"/>
  <c r="M178" i="2" s="1"/>
  <c r="J174" i="2"/>
  <c r="K178" i="2" s="1"/>
  <c r="I148" i="2"/>
  <c r="L288" i="2"/>
  <c r="J288" i="2"/>
  <c r="F288" i="2"/>
  <c r="J167" i="2"/>
  <c r="F167" i="2"/>
  <c r="L167" i="2"/>
  <c r="L232" i="2"/>
  <c r="M236" i="2" s="1"/>
  <c r="F232" i="2"/>
  <c r="G236" i="2" s="1"/>
  <c r="J232" i="2"/>
  <c r="K236" i="2" s="1"/>
  <c r="G15" i="2"/>
  <c r="G11" i="2"/>
  <c r="L233" i="2"/>
  <c r="M237" i="2" s="1"/>
  <c r="J233" i="2"/>
  <c r="K237" i="2" s="1"/>
  <c r="F233" i="2"/>
  <c r="G237" i="2" s="1"/>
  <c r="M117" i="2"/>
  <c r="G28" i="2"/>
  <c r="G24" i="2"/>
  <c r="H167" i="2"/>
  <c r="L112" i="2"/>
  <c r="M116" i="2" s="1"/>
  <c r="F112" i="2"/>
  <c r="J112" i="2"/>
  <c r="K116" i="2" s="1"/>
  <c r="G301" i="2"/>
  <c r="G297" i="2"/>
  <c r="I200" i="2"/>
  <c r="I204" i="2"/>
  <c r="I146" i="2"/>
  <c r="I142" i="2"/>
  <c r="K31" i="2"/>
  <c r="K27" i="2"/>
  <c r="K198" i="2"/>
  <c r="K202" i="2"/>
  <c r="H166" i="2"/>
  <c r="G54" i="2"/>
  <c r="J109" i="2"/>
  <c r="K113" i="2" s="1"/>
  <c r="K305" i="2"/>
  <c r="K273" i="2"/>
  <c r="K269" i="2"/>
  <c r="G18" i="2"/>
  <c r="G14" i="2"/>
  <c r="K46" i="2"/>
  <c r="K42" i="2"/>
  <c r="L173" i="2"/>
  <c r="F173" i="2"/>
  <c r="J173" i="2"/>
  <c r="I114" i="2"/>
  <c r="G202" i="2"/>
  <c r="K260" i="2"/>
  <c r="K264" i="2"/>
  <c r="L108" i="2"/>
  <c r="M112" i="2" s="1"/>
  <c r="J108" i="2"/>
  <c r="K112" i="2" s="1"/>
  <c r="F108" i="2"/>
  <c r="G112" i="2" s="1"/>
  <c r="G144" i="2"/>
  <c r="G140" i="2"/>
  <c r="I174" i="2"/>
  <c r="K111" i="2"/>
  <c r="I292" i="2"/>
  <c r="I288" i="2"/>
  <c r="M54" i="2"/>
  <c r="M50" i="2"/>
  <c r="F298" i="2"/>
  <c r="H298" i="2"/>
  <c r="F169" i="2"/>
  <c r="L169" i="2"/>
  <c r="M173" i="2" s="1"/>
  <c r="J169" i="2"/>
  <c r="K173" i="2" s="1"/>
  <c r="J289" i="2"/>
  <c r="L289" i="2"/>
  <c r="F289" i="2"/>
  <c r="M271" i="2"/>
  <c r="I149" i="2"/>
  <c r="I153" i="2"/>
  <c r="K165" i="2"/>
  <c r="K169" i="2"/>
  <c r="G83" i="2"/>
  <c r="G79" i="2"/>
  <c r="M200" i="2"/>
  <c r="M204" i="2"/>
  <c r="K291" i="2"/>
  <c r="K295" i="2"/>
  <c r="I236" i="2"/>
  <c r="G152" i="2"/>
  <c r="G148" i="2"/>
  <c r="M14" i="2"/>
  <c r="M18" i="2"/>
  <c r="H295" i="2"/>
  <c r="H228" i="2"/>
  <c r="K152" i="2"/>
  <c r="L175" i="2"/>
  <c r="M179" i="2" s="1"/>
  <c r="F175" i="2"/>
  <c r="J175" i="2"/>
  <c r="K179" i="2" s="1"/>
  <c r="L104" i="2"/>
  <c r="J104" i="2"/>
  <c r="F104" i="2"/>
  <c r="K298" i="2"/>
  <c r="K302" i="2"/>
  <c r="I24" i="2"/>
  <c r="K208" i="2"/>
  <c r="K204" i="2"/>
  <c r="H241" i="2"/>
  <c r="F241" i="2"/>
  <c r="G241" i="2" s="1"/>
  <c r="L114" i="2"/>
  <c r="J114" i="2"/>
  <c r="K118" i="2" s="1"/>
  <c r="F114" i="2"/>
  <c r="I241" i="2"/>
  <c r="F47" i="2"/>
  <c r="G51" i="2" s="1"/>
  <c r="H47" i="2"/>
  <c r="I51" i="2" s="1"/>
  <c r="H305" i="2"/>
  <c r="F305" i="2"/>
  <c r="G305" i="2" s="1"/>
  <c r="I178" i="2"/>
  <c r="H116" i="2"/>
  <c r="I116" i="2" s="1"/>
  <c r="F116" i="2"/>
  <c r="K290" i="2"/>
  <c r="K294" i="2"/>
  <c r="G143" i="2"/>
  <c r="G139" i="2"/>
  <c r="G146" i="2"/>
  <c r="G142" i="2"/>
  <c r="I77" i="2"/>
  <c r="I73" i="2"/>
  <c r="J238" i="2"/>
  <c r="K242" i="2" s="1"/>
  <c r="F238" i="2"/>
  <c r="L238" i="2"/>
  <c r="M242" i="2" s="1"/>
  <c r="L229" i="2"/>
  <c r="F229" i="2"/>
  <c r="J229" i="2"/>
  <c r="M82" i="2"/>
  <c r="M78" i="2"/>
  <c r="M291" i="2"/>
  <c r="M295" i="2"/>
  <c r="K143" i="2"/>
  <c r="K139" i="2"/>
  <c r="F52" i="2"/>
  <c r="G56" i="2" s="1"/>
  <c r="H52" i="2"/>
  <c r="I92" i="2"/>
  <c r="I88" i="2"/>
  <c r="M17" i="2"/>
  <c r="M13" i="2"/>
  <c r="I233" i="2"/>
  <c r="I229" i="2"/>
  <c r="M148" i="2"/>
  <c r="J177" i="2"/>
  <c r="K181" i="2" s="1"/>
  <c r="L177" i="2"/>
  <c r="M181" i="2" s="1"/>
  <c r="F177" i="2"/>
  <c r="G181" i="2" s="1"/>
  <c r="K145" i="2"/>
  <c r="K141" i="2"/>
  <c r="J234" i="2"/>
  <c r="K238" i="2" s="1"/>
  <c r="K77" i="2"/>
  <c r="K73" i="2"/>
  <c r="M146" i="2"/>
  <c r="I140" i="2"/>
  <c r="I19" i="2"/>
  <c r="M27" i="2"/>
  <c r="F118" i="2"/>
  <c r="I78" i="2"/>
  <c r="G201" i="2"/>
  <c r="H300" i="2"/>
  <c r="I304" i="2" s="1"/>
  <c r="J300" i="2"/>
  <c r="K304" i="2" s="1"/>
  <c r="L228" i="2"/>
  <c r="F228" i="2"/>
  <c r="J228" i="2"/>
  <c r="K115" i="2"/>
  <c r="H111" i="2"/>
  <c r="F111" i="2"/>
  <c r="G115" i="2" s="1"/>
  <c r="J168" i="2"/>
  <c r="K172" i="2" s="1"/>
  <c r="F168" i="2"/>
  <c r="L168" i="2"/>
  <c r="M172" i="2" s="1"/>
  <c r="H176" i="2"/>
  <c r="I180" i="2" s="1"/>
  <c r="F176" i="2"/>
  <c r="G180" i="2" s="1"/>
  <c r="L41" i="2"/>
  <c r="J41" i="2"/>
  <c r="F41" i="2"/>
  <c r="G199" i="2"/>
  <c r="G203" i="2"/>
  <c r="M166" i="2"/>
  <c r="M170" i="2"/>
  <c r="K85" i="2"/>
  <c r="K89" i="2"/>
  <c r="H42" i="2"/>
  <c r="G166" i="2"/>
  <c r="G170" i="2"/>
  <c r="M294" i="2"/>
  <c r="M290" i="2"/>
  <c r="M143" i="2"/>
  <c r="M139" i="2"/>
  <c r="K170" i="2"/>
  <c r="K166" i="2"/>
  <c r="G267" i="2"/>
  <c r="M214" i="2"/>
  <c r="M210" i="2"/>
  <c r="I234" i="2"/>
  <c r="L171" i="2"/>
  <c r="M175" i="2" s="1"/>
  <c r="J171" i="2"/>
  <c r="F171" i="2"/>
  <c r="G175" i="2" s="1"/>
  <c r="H57" i="2"/>
  <c r="I57" i="2" s="1"/>
  <c r="J57" i="2"/>
  <c r="K57" i="2" s="1"/>
  <c r="M241" i="2"/>
  <c r="G200" i="2"/>
  <c r="G204" i="2"/>
  <c r="F48" i="2"/>
  <c r="L48" i="2"/>
  <c r="J48" i="2"/>
  <c r="K52" i="2" s="1"/>
  <c r="G147" i="2"/>
  <c r="K90" i="2"/>
  <c r="K86" i="2"/>
  <c r="H107" i="2"/>
  <c r="I111" i="2" s="1"/>
  <c r="F107" i="2"/>
  <c r="G111" i="2" s="1"/>
  <c r="H45" i="2"/>
  <c r="F45" i="2"/>
  <c r="G149" i="2"/>
  <c r="M86" i="2"/>
  <c r="M12" i="2"/>
  <c r="M16" i="2"/>
  <c r="M297" i="2"/>
  <c r="I201" i="2"/>
  <c r="I197" i="2"/>
  <c r="H106" i="2"/>
  <c r="I110" i="2" s="1"/>
  <c r="F106" i="2"/>
  <c r="G110" i="2" s="1"/>
  <c r="G145" i="2"/>
  <c r="G141" i="2"/>
  <c r="M103" i="2"/>
  <c r="M107" i="2"/>
  <c r="I79" i="2"/>
  <c r="I83" i="2"/>
  <c r="J303" i="2"/>
  <c r="K303" i="2" s="1"/>
  <c r="I106" i="2"/>
  <c r="I102" i="2"/>
  <c r="G113" i="2"/>
  <c r="F179" i="2"/>
  <c r="K293" i="2" l="1"/>
  <c r="K289" i="2"/>
  <c r="M288" i="2"/>
  <c r="M292" i="2"/>
  <c r="G226" i="2"/>
  <c r="G230" i="2"/>
  <c r="I243" i="2"/>
  <c r="I176" i="2"/>
  <c r="I48" i="2"/>
  <c r="I44" i="2"/>
  <c r="K168" i="2"/>
  <c r="K164" i="2"/>
  <c r="G49" i="2"/>
  <c r="M52" i="2"/>
  <c r="M48" i="2"/>
  <c r="K175" i="2"/>
  <c r="K228" i="2"/>
  <c r="K232" i="2"/>
  <c r="G238" i="2"/>
  <c r="G242" i="2"/>
  <c r="G179" i="2"/>
  <c r="I170" i="2"/>
  <c r="I166" i="2"/>
  <c r="I226" i="2"/>
  <c r="I230" i="2"/>
  <c r="G107" i="2"/>
  <c r="G103" i="2"/>
  <c r="G47" i="2"/>
  <c r="G43" i="2"/>
  <c r="K53" i="2"/>
  <c r="K49" i="2"/>
  <c r="G48" i="2"/>
  <c r="G52" i="2"/>
  <c r="G232" i="2"/>
  <c r="G228" i="2"/>
  <c r="M49" i="2"/>
  <c r="M53" i="2"/>
  <c r="G118" i="2"/>
  <c r="G114" i="2"/>
  <c r="M167" i="2"/>
  <c r="M171" i="2"/>
  <c r="G172" i="2"/>
  <c r="I232" i="2"/>
  <c r="I228" i="2"/>
  <c r="I302" i="2"/>
  <c r="I298" i="2"/>
  <c r="G171" i="2"/>
  <c r="G167" i="2"/>
  <c r="I109" i="2"/>
  <c r="I105" i="2"/>
  <c r="K234" i="2"/>
  <c r="K174" i="2"/>
  <c r="K106" i="2"/>
  <c r="K102" i="2"/>
  <c r="G239" i="2"/>
  <c r="G243" i="2"/>
  <c r="M238" i="2"/>
  <c r="M41" i="2"/>
  <c r="M45" i="2"/>
  <c r="I49" i="2"/>
  <c r="I45" i="2"/>
  <c r="I107" i="2"/>
  <c r="I103" i="2"/>
  <c r="M106" i="2"/>
  <c r="M102" i="2"/>
  <c r="I239" i="2"/>
  <c r="G106" i="2"/>
  <c r="G102" i="2"/>
  <c r="M243" i="2"/>
  <c r="M239" i="2"/>
  <c r="I56" i="2"/>
  <c r="I52" i="2"/>
  <c r="K233" i="2"/>
  <c r="K229" i="2"/>
  <c r="M118" i="2"/>
  <c r="M114" i="2"/>
  <c r="G108" i="2"/>
  <c r="G104" i="2"/>
  <c r="I299" i="2"/>
  <c r="I295" i="2"/>
  <c r="G302" i="2"/>
  <c r="G298" i="2"/>
  <c r="K177" i="2"/>
  <c r="G116" i="2"/>
  <c r="K171" i="2"/>
  <c r="K167" i="2"/>
  <c r="K300" i="2"/>
  <c r="M231" i="2"/>
  <c r="M227" i="2"/>
  <c r="G174" i="2"/>
  <c r="G296" i="2"/>
  <c r="M228" i="2"/>
  <c r="M232" i="2"/>
  <c r="G173" i="2"/>
  <c r="G169" i="2"/>
  <c r="M169" i="2"/>
  <c r="G109" i="2"/>
  <c r="G105" i="2"/>
  <c r="G41" i="2"/>
  <c r="G45" i="2"/>
  <c r="G233" i="2"/>
  <c r="G229" i="2"/>
  <c r="K108" i="2"/>
  <c r="K104" i="2"/>
  <c r="G289" i="2"/>
  <c r="G293" i="2"/>
  <c r="G177" i="2"/>
  <c r="G292" i="2"/>
  <c r="G288" i="2"/>
  <c r="G227" i="2"/>
  <c r="G231" i="2"/>
  <c r="M174" i="2"/>
  <c r="K230" i="2"/>
  <c r="I240" i="2"/>
  <c r="M164" i="2"/>
  <c r="M168" i="2"/>
  <c r="M230" i="2"/>
  <c r="I43" i="2"/>
  <c r="I47" i="2"/>
  <c r="G50" i="2"/>
  <c r="G46" i="2"/>
  <c r="I42" i="2"/>
  <c r="I46" i="2"/>
  <c r="K45" i="2"/>
  <c r="K41" i="2"/>
  <c r="I115" i="2"/>
  <c r="M233" i="2"/>
  <c r="M229" i="2"/>
  <c r="M108" i="2"/>
  <c r="M104" i="2"/>
  <c r="M293" i="2"/>
  <c r="M289" i="2"/>
  <c r="M177" i="2"/>
  <c r="I171" i="2"/>
  <c r="I167" i="2"/>
  <c r="K292" i="2"/>
  <c r="K288" i="2"/>
  <c r="I300" i="2"/>
  <c r="K227" i="2"/>
  <c r="K231" i="2"/>
  <c r="K48" i="2"/>
  <c r="K44" i="2"/>
  <c r="G168" i="2"/>
  <c r="G164" i="2"/>
  <c r="I296" i="2"/>
</calcChain>
</file>

<file path=xl/sharedStrings.xml><?xml version="1.0" encoding="utf-8"?>
<sst xmlns="http://schemas.openxmlformats.org/spreadsheetml/2006/main" count="2024" uniqueCount="751">
  <si>
    <t>PIP</t>
  </si>
  <si>
    <t>Private Passenger Auto Loss Data and Trends</t>
  </si>
  <si>
    <t>Bodily Injury</t>
  </si>
  <si>
    <t>Property Damage</t>
  </si>
  <si>
    <t>Comprehensive</t>
  </si>
  <si>
    <t>Collision</t>
  </si>
  <si>
    <t>Year</t>
  </si>
  <si>
    <t>Paid</t>
  </si>
  <si>
    <t>Arising</t>
  </si>
  <si>
    <t>Ending</t>
  </si>
  <si>
    <t>Pure</t>
  </si>
  <si>
    <t>Claim</t>
  </si>
  <si>
    <t>Quarter</t>
  </si>
  <si>
    <t>Freq.*</t>
  </si>
  <si>
    <t>Linear</t>
  </si>
  <si>
    <t>1 Year</t>
  </si>
  <si>
    <t>2 Year</t>
  </si>
  <si>
    <t>3 Year</t>
  </si>
  <si>
    <t>Exponential</t>
  </si>
  <si>
    <t>ENDING</t>
  </si>
  <si>
    <t>QUARTER</t>
  </si>
  <si>
    <t>QUARTER ENDING</t>
  </si>
  <si>
    <t>Cost($)</t>
  </si>
  <si>
    <t/>
  </si>
  <si>
    <t>Bodily Injury Pure Premium</t>
  </si>
  <si>
    <t>Bodily Injury Paid Claim Frequency</t>
  </si>
  <si>
    <t>Bodily Injury Average Claim Cost</t>
  </si>
  <si>
    <t>Bodily Injury Arising Claim Frequency</t>
  </si>
  <si>
    <t>Property Damage Pure Premium</t>
  </si>
  <si>
    <t>Property Damage Paid Claim Frequency</t>
  </si>
  <si>
    <t>Property Damage Average Claim Cost</t>
  </si>
  <si>
    <t>Comprehensive Pure Premium</t>
  </si>
  <si>
    <t>Comprehensive Paid Claim Frequency</t>
  </si>
  <si>
    <t>Comprehensive Average Claim Cost</t>
  </si>
  <si>
    <t>Collision Pure Premium</t>
  </si>
  <si>
    <t>Collision Paid Claim Frequency</t>
  </si>
  <si>
    <t>Collision Average Claim Cost</t>
  </si>
  <si>
    <t>4 Year</t>
  </si>
  <si>
    <t>All Charts</t>
  </si>
  <si>
    <t>All Tables</t>
  </si>
  <si>
    <t>*Frequency is per 100 earned car years.</t>
  </si>
  <si>
    <t>PPI</t>
  </si>
  <si>
    <t>Private Passenger Auto Claim Cost and Frequency</t>
  </si>
  <si>
    <r>
      <t>FAST TRACK PLUS</t>
    </r>
    <r>
      <rPr>
        <b/>
        <vertAlign val="superscript"/>
        <sz val="9"/>
        <rFont val="Arial"/>
        <family val="2"/>
      </rPr>
      <t>TM</t>
    </r>
  </si>
  <si>
    <r>
      <t>FAST TRACK PLUS</t>
    </r>
    <r>
      <rPr>
        <b/>
        <vertAlign val="superscript"/>
        <sz val="10"/>
        <rFont val="Arial"/>
        <family val="2"/>
      </rPr>
      <t>TM</t>
    </r>
  </si>
  <si>
    <t>Private Passenger Liability</t>
  </si>
  <si>
    <t>BI Total Limits Losses</t>
  </si>
  <si>
    <t>Pct. Change</t>
  </si>
  <si>
    <t>No. of</t>
  </si>
  <si>
    <t>From Same</t>
  </si>
  <si>
    <t>Earned Car</t>
  </si>
  <si>
    <t>Claims</t>
  </si>
  <si>
    <t>QTR Prior</t>
  </si>
  <si>
    <t>Years</t>
  </si>
  <si>
    <t>Loses($)</t>
  </si>
  <si>
    <t>Premium($)</t>
  </si>
  <si>
    <t>Loss Ratios - Direct</t>
  </si>
  <si>
    <t>Private Passenger Auto Liability</t>
  </si>
  <si>
    <t>****  Bodily Injury &amp; Property Damage  ****</t>
  </si>
  <si>
    <t>Earned Premiums($)</t>
  </si>
  <si>
    <t>Incurred Losses($)</t>
  </si>
  <si>
    <t>Loss Ratio</t>
  </si>
  <si>
    <t>Loss Ratios-Direct</t>
  </si>
  <si>
    <t>Private Passenger Auto Physical Damage</t>
  </si>
  <si>
    <t>****             Collision             ****</t>
  </si>
  <si>
    <t>****           Comprehensive           ****</t>
  </si>
  <si>
    <t>Coll. Earned Prem($)</t>
  </si>
  <si>
    <t>Comp. Earned Prem.($)</t>
  </si>
  <si>
    <t>BI Total Limits Losses -- Quarter Ending</t>
  </si>
  <si>
    <t>BI Total Limits Losses -- Year Ending</t>
  </si>
  <si>
    <t>Property Damage -- Quarter Ending</t>
  </si>
  <si>
    <t>Property Damage -- Year Ending</t>
  </si>
  <si>
    <t>All Comprehensive Combined -- Quarter Ending</t>
  </si>
  <si>
    <t>All Comprehensive Combined -- Year Ending</t>
  </si>
  <si>
    <t>All Collision Combined -- Quarter Ending</t>
  </si>
  <si>
    <t>All Collision Combined -- Year Ending</t>
  </si>
  <si>
    <t>Bodily Injury &amp; Property Damage -- Quarter Ending</t>
  </si>
  <si>
    <t>Bodily Injury &amp; Property Damage -- Year Ending</t>
  </si>
  <si>
    <t>Collision &amp; Comprehensive -- Quarter Ending</t>
  </si>
  <si>
    <t>Collision &amp; Comprehensive -- Year Ending</t>
  </si>
  <si>
    <t>R-Square(Linear)</t>
  </si>
  <si>
    <t>R-Square(Exponential)</t>
  </si>
  <si>
    <t>Annual Trends</t>
  </si>
  <si>
    <t>Private Passenger Auto Loss Data R-Square Trends</t>
  </si>
  <si>
    <t>Loss Data and Trends</t>
  </si>
  <si>
    <t>R-Square Trends</t>
  </si>
  <si>
    <t>Source: ISS/ISO/NISS Private Passenger Fast Track Data</t>
  </si>
  <si>
    <t>Source of Auto Data: ISS/ISO/NISS</t>
  </si>
  <si>
    <t>Multi-state</t>
  </si>
  <si>
    <t>Arizona</t>
  </si>
  <si>
    <t>California</t>
  </si>
  <si>
    <t>MatchCol</t>
  </si>
  <si>
    <t>EarnedCarYears</t>
  </si>
  <si>
    <t>PaidClaims</t>
  </si>
  <si>
    <t>ArisingClaims</t>
  </si>
  <si>
    <t>PaidLosses</t>
  </si>
  <si>
    <t>PurePremium</t>
  </si>
  <si>
    <t>PaidClaimFrequency</t>
  </si>
  <si>
    <t>PaidClaimSeverity</t>
  </si>
  <si>
    <t>ArisingClaimFrequency</t>
  </si>
  <si>
    <t>2004 - 1BIArizona</t>
  </si>
  <si>
    <t>2004 - 2BIArizona</t>
  </si>
  <si>
    <t>2004 - 3BIArizona</t>
  </si>
  <si>
    <t>2004 - 4BIArizona</t>
  </si>
  <si>
    <t>2005 - 1BIArizona</t>
  </si>
  <si>
    <t>2005 - 2BIArizona</t>
  </si>
  <si>
    <t>2005 - 3BIArizona</t>
  </si>
  <si>
    <t>2005 - 4BIArizona</t>
  </si>
  <si>
    <t>2006 - 1BIArizona</t>
  </si>
  <si>
    <t>2006 - 2BIArizona</t>
  </si>
  <si>
    <t>2006 - 3BIArizona</t>
  </si>
  <si>
    <t>2006 - 4BIArizona</t>
  </si>
  <si>
    <t>2007 - 1BIArizona</t>
  </si>
  <si>
    <t>2007 - 2BIArizona</t>
  </si>
  <si>
    <t>2007 - 3BIArizona</t>
  </si>
  <si>
    <t>2007 - 4BIArizona</t>
  </si>
  <si>
    <t>2008 - 1BIArizona</t>
  </si>
  <si>
    <t>2008 - 2BIArizona</t>
  </si>
  <si>
    <t>2008 - 3BIArizona</t>
  </si>
  <si>
    <t>2008 - 4BIArizona</t>
  </si>
  <si>
    <t>2009 - 1BIArizona</t>
  </si>
  <si>
    <t>2004 - 1BICalifornia</t>
  </si>
  <si>
    <t>2004 - 2BICalifornia</t>
  </si>
  <si>
    <t>2004 - 3BICalifornia</t>
  </si>
  <si>
    <t>2004 - 4BICalifornia</t>
  </si>
  <si>
    <t>2005 - 1BICalifornia</t>
  </si>
  <si>
    <t>2005 - 2BICalifornia</t>
  </si>
  <si>
    <t>2005 - 3BICalifornia</t>
  </si>
  <si>
    <t>2005 - 4BICalifornia</t>
  </si>
  <si>
    <t>2006 - 1BICalifornia</t>
  </si>
  <si>
    <t>2006 - 2BICalifornia</t>
  </si>
  <si>
    <t>2006 - 3BICalifornia</t>
  </si>
  <si>
    <t>2006 - 4BICalifornia</t>
  </si>
  <si>
    <t>2007 - 1BICalifornia</t>
  </si>
  <si>
    <t>2007 - 2BICalifornia</t>
  </si>
  <si>
    <t>2007 - 3BICalifornia</t>
  </si>
  <si>
    <t>2007 - 4BICalifornia</t>
  </si>
  <si>
    <t>2008 - 1BICalifornia</t>
  </si>
  <si>
    <t>2008 - 2BICalifornia</t>
  </si>
  <si>
    <t>2008 - 3BICalifornia</t>
  </si>
  <si>
    <t>2008 - 4BICalifornia</t>
  </si>
  <si>
    <t>2009 - 1BICalifornia</t>
  </si>
  <si>
    <t>2004 - 1BIMulti-state</t>
  </si>
  <si>
    <t>2004 - 2BIMulti-state</t>
  </si>
  <si>
    <t>2004 - 3BIMulti-state</t>
  </si>
  <si>
    <t>2004 - 4BIMulti-state</t>
  </si>
  <si>
    <t>2005 - 1BIMulti-state</t>
  </si>
  <si>
    <t>2005 - 2BIMulti-state</t>
  </si>
  <si>
    <t>2005 - 3BIMulti-state</t>
  </si>
  <si>
    <t>2005 - 4BIMulti-state</t>
  </si>
  <si>
    <t>2006 - 1BIMulti-state</t>
  </si>
  <si>
    <t>2006 - 2BIMulti-state</t>
  </si>
  <si>
    <t>2006 - 3BIMulti-state</t>
  </si>
  <si>
    <t>2006 - 4BIMulti-state</t>
  </si>
  <si>
    <t>2007 - 1BIMulti-state</t>
  </si>
  <si>
    <t>2007 - 2BIMulti-state</t>
  </si>
  <si>
    <t>2007 - 3BIMulti-state</t>
  </si>
  <si>
    <t>2007 - 4BIMulti-state</t>
  </si>
  <si>
    <t>2008 - 1BIMulti-state</t>
  </si>
  <si>
    <t>2008 - 2BIMulti-state</t>
  </si>
  <si>
    <t>2008 - 3BIMulti-state</t>
  </si>
  <si>
    <t>2008 - 4BIMulti-state</t>
  </si>
  <si>
    <t>2009 - 1BIMulti-state</t>
  </si>
  <si>
    <t>2004 - 1COLLArizona</t>
  </si>
  <si>
    <t>2004 - 2COLLArizona</t>
  </si>
  <si>
    <t>2004 - 3COLLArizona</t>
  </si>
  <si>
    <t>2004 - 4COLLArizona</t>
  </si>
  <si>
    <t>2005 - 1COLLArizona</t>
  </si>
  <si>
    <t>2005 - 2COLLArizona</t>
  </si>
  <si>
    <t>2005 - 3COLLArizona</t>
  </si>
  <si>
    <t>2005 - 4COLLArizona</t>
  </si>
  <si>
    <t>2006 - 1COLLArizona</t>
  </si>
  <si>
    <t>2006 - 2COLLArizona</t>
  </si>
  <si>
    <t>2006 - 3COLLArizona</t>
  </si>
  <si>
    <t>2006 - 4COLLArizona</t>
  </si>
  <si>
    <t>2007 - 1COLLArizona</t>
  </si>
  <si>
    <t>2007 - 2COLLArizona</t>
  </si>
  <si>
    <t>2007 - 3COLLArizona</t>
  </si>
  <si>
    <t>2007 - 4COLLArizona</t>
  </si>
  <si>
    <t>2008 - 1COLLArizona</t>
  </si>
  <si>
    <t>2008 - 2COLLArizona</t>
  </si>
  <si>
    <t>2008 - 3COLLArizona</t>
  </si>
  <si>
    <t>2008 - 4COLLArizona</t>
  </si>
  <si>
    <t>2009 - 1COLLArizona</t>
  </si>
  <si>
    <t>2004 - 1COLLCalifornia</t>
  </si>
  <si>
    <t>2004 - 2COLLCalifornia</t>
  </si>
  <si>
    <t>2004 - 3COLLCalifornia</t>
  </si>
  <si>
    <t>2004 - 4COLLCalifornia</t>
  </si>
  <si>
    <t>2005 - 1COLLCalifornia</t>
  </si>
  <si>
    <t>2005 - 2COLLCalifornia</t>
  </si>
  <si>
    <t>2005 - 3COLLCalifornia</t>
  </si>
  <si>
    <t>2005 - 4COLLCalifornia</t>
  </si>
  <si>
    <t>2006 - 1COLLCalifornia</t>
  </si>
  <si>
    <t>2006 - 2COLLCalifornia</t>
  </si>
  <si>
    <t>2006 - 3COLLCalifornia</t>
  </si>
  <si>
    <t>2006 - 4COLLCalifornia</t>
  </si>
  <si>
    <t>2007 - 1COLLCalifornia</t>
  </si>
  <si>
    <t>2007 - 2COLLCalifornia</t>
  </si>
  <si>
    <t>2007 - 3COLLCalifornia</t>
  </si>
  <si>
    <t>2007 - 4COLLCalifornia</t>
  </si>
  <si>
    <t>2008 - 1COLLCalifornia</t>
  </si>
  <si>
    <t>2008 - 2COLLCalifornia</t>
  </si>
  <si>
    <t>2008 - 3COLLCalifornia</t>
  </si>
  <si>
    <t>2008 - 4COLLCalifornia</t>
  </si>
  <si>
    <t>2009 - 1COLLCalifornia</t>
  </si>
  <si>
    <t>2004 - 1COLLMulti-state</t>
  </si>
  <si>
    <t>2004 - 2COLLMulti-state</t>
  </si>
  <si>
    <t>2004 - 3COLLMulti-state</t>
  </si>
  <si>
    <t>2004 - 4COLLMulti-state</t>
  </si>
  <si>
    <t>2005 - 1COLLMulti-state</t>
  </si>
  <si>
    <t>2005 - 2COLLMulti-state</t>
  </si>
  <si>
    <t>2005 - 3COLLMulti-state</t>
  </si>
  <si>
    <t>2005 - 4COLLMulti-state</t>
  </si>
  <si>
    <t>2006 - 1COLLMulti-state</t>
  </si>
  <si>
    <t>2006 - 2COLLMulti-state</t>
  </si>
  <si>
    <t>2006 - 3COLLMulti-state</t>
  </si>
  <si>
    <t>2006 - 4COLLMulti-state</t>
  </si>
  <si>
    <t>2007 - 1COLLMulti-state</t>
  </si>
  <si>
    <t>2007 - 2COLLMulti-state</t>
  </si>
  <si>
    <t>2007 - 3COLLMulti-state</t>
  </si>
  <si>
    <t>2007 - 4COLLMulti-state</t>
  </si>
  <si>
    <t>2008 - 1COLLMulti-state</t>
  </si>
  <si>
    <t>2008 - 2COLLMulti-state</t>
  </si>
  <si>
    <t>2008 - 3COLLMulti-state</t>
  </si>
  <si>
    <t>2008 - 4COLLMulti-state</t>
  </si>
  <si>
    <t>2009 - 1COLLMulti-state</t>
  </si>
  <si>
    <t>2004 - 1COMPArizona</t>
  </si>
  <si>
    <t>2004 - 2COMPArizona</t>
  </si>
  <si>
    <t>2004 - 3COMPArizona</t>
  </si>
  <si>
    <t>2004 - 4COMPArizona</t>
  </si>
  <si>
    <t>2005 - 1COMPArizona</t>
  </si>
  <si>
    <t>2005 - 2COMPArizona</t>
  </si>
  <si>
    <t>2005 - 3COMPArizona</t>
  </si>
  <si>
    <t>2005 - 4COMPArizona</t>
  </si>
  <si>
    <t>2006 - 1COMPArizona</t>
  </si>
  <si>
    <t>2006 - 2COMPArizona</t>
  </si>
  <si>
    <t>2006 - 3COMPArizona</t>
  </si>
  <si>
    <t>2006 - 4COMPArizona</t>
  </si>
  <si>
    <t>2007 - 1COMPArizona</t>
  </si>
  <si>
    <t>2007 - 2COMPArizona</t>
  </si>
  <si>
    <t>2007 - 3COMPArizona</t>
  </si>
  <si>
    <t>2007 - 4COMPArizona</t>
  </si>
  <si>
    <t>2008 - 1COMPArizona</t>
  </si>
  <si>
    <t>2008 - 2COMPArizona</t>
  </si>
  <si>
    <t>2008 - 3COMPArizona</t>
  </si>
  <si>
    <t>2008 - 4COMPArizona</t>
  </si>
  <si>
    <t>2009 - 1COMPArizona</t>
  </si>
  <si>
    <t>2004 - 1COMPCalifornia</t>
  </si>
  <si>
    <t>2004 - 2COMPCalifornia</t>
  </si>
  <si>
    <t>2004 - 3COMPCalifornia</t>
  </si>
  <si>
    <t>2004 - 4COMPCalifornia</t>
  </si>
  <si>
    <t>2005 - 1COMPCalifornia</t>
  </si>
  <si>
    <t>2005 - 2COMPCalifornia</t>
  </si>
  <si>
    <t>2005 - 3COMPCalifornia</t>
  </si>
  <si>
    <t>2005 - 4COMPCalifornia</t>
  </si>
  <si>
    <t>2006 - 1COMPCalifornia</t>
  </si>
  <si>
    <t>2006 - 2COMPCalifornia</t>
  </si>
  <si>
    <t>2006 - 3COMPCalifornia</t>
  </si>
  <si>
    <t>2006 - 4COMPCalifornia</t>
  </si>
  <si>
    <t>2007 - 1COMPCalifornia</t>
  </si>
  <si>
    <t>2007 - 2COMPCalifornia</t>
  </si>
  <si>
    <t>2007 - 3COMPCalifornia</t>
  </si>
  <si>
    <t>2007 - 4COMPCalifornia</t>
  </si>
  <si>
    <t>2008 - 1COMPCalifornia</t>
  </si>
  <si>
    <t>2008 - 2COMPCalifornia</t>
  </si>
  <si>
    <t>2008 - 3COMPCalifornia</t>
  </si>
  <si>
    <t>2008 - 4COMPCalifornia</t>
  </si>
  <si>
    <t>2009 - 1COMPCalifornia</t>
  </si>
  <si>
    <t>2004 - 1COMPMulti-state</t>
  </si>
  <si>
    <t>2004 - 2COMPMulti-state</t>
  </si>
  <si>
    <t>2004 - 3COMPMulti-state</t>
  </si>
  <si>
    <t>2004 - 4COMPMulti-state</t>
  </si>
  <si>
    <t>2005 - 1COMPMulti-state</t>
  </si>
  <si>
    <t>2005 - 2COMPMulti-state</t>
  </si>
  <si>
    <t>2005 - 3COMPMulti-state</t>
  </si>
  <si>
    <t>2005 - 4COMPMulti-state</t>
  </si>
  <si>
    <t>2006 - 1COMPMulti-state</t>
  </si>
  <si>
    <t>2006 - 2COMPMulti-state</t>
  </si>
  <si>
    <t>2006 - 3COMPMulti-state</t>
  </si>
  <si>
    <t>2006 - 4COMPMulti-state</t>
  </si>
  <si>
    <t>2007 - 1COMPMulti-state</t>
  </si>
  <si>
    <t>2007 - 2COMPMulti-state</t>
  </si>
  <si>
    <t>2007 - 3COMPMulti-state</t>
  </si>
  <si>
    <t>2007 - 4COMPMulti-state</t>
  </si>
  <si>
    <t>2008 - 1COMPMulti-state</t>
  </si>
  <si>
    <t>2008 - 2COMPMulti-state</t>
  </si>
  <si>
    <t>2008 - 3COMPMulti-state</t>
  </si>
  <si>
    <t>2008 - 4COMPMulti-state</t>
  </si>
  <si>
    <t>2009 - 1COMPMulti-state</t>
  </si>
  <si>
    <t>2004 - 1PDArizona</t>
  </si>
  <si>
    <t>2004 - 2PDArizona</t>
  </si>
  <si>
    <t>2004 - 3PDArizona</t>
  </si>
  <si>
    <t>2004 - 4PDArizona</t>
  </si>
  <si>
    <t>2005 - 1PDArizona</t>
  </si>
  <si>
    <t>2005 - 2PDArizona</t>
  </si>
  <si>
    <t>2005 - 3PDArizona</t>
  </si>
  <si>
    <t>2005 - 4PDArizona</t>
  </si>
  <si>
    <t>2006 - 1PDArizona</t>
  </si>
  <si>
    <t>2006 - 2PDArizona</t>
  </si>
  <si>
    <t>2006 - 3PDArizona</t>
  </si>
  <si>
    <t>2006 - 4PDArizona</t>
  </si>
  <si>
    <t>2007 - 1PDArizona</t>
  </si>
  <si>
    <t>2007 - 2PDArizona</t>
  </si>
  <si>
    <t>2007 - 3PDArizona</t>
  </si>
  <si>
    <t>2007 - 4PDArizona</t>
  </si>
  <si>
    <t>2008 - 1PDArizona</t>
  </si>
  <si>
    <t>2008 - 2PDArizona</t>
  </si>
  <si>
    <t>2008 - 3PDArizona</t>
  </si>
  <si>
    <t>2008 - 4PDArizona</t>
  </si>
  <si>
    <t>2009 - 1PDArizona</t>
  </si>
  <si>
    <t>2004 - 1PDCalifornia</t>
  </si>
  <si>
    <t>2004 - 2PDCalifornia</t>
  </si>
  <si>
    <t>2004 - 3PDCalifornia</t>
  </si>
  <si>
    <t>2004 - 4PDCalifornia</t>
  </si>
  <si>
    <t>2005 - 1PDCalifornia</t>
  </si>
  <si>
    <t>2005 - 2PDCalifornia</t>
  </si>
  <si>
    <t>2005 - 3PDCalifornia</t>
  </si>
  <si>
    <t>2005 - 4PDCalifornia</t>
  </si>
  <si>
    <t>2006 - 1PDCalifornia</t>
  </si>
  <si>
    <t>2006 - 2PDCalifornia</t>
  </si>
  <si>
    <t>2006 - 3PDCalifornia</t>
  </si>
  <si>
    <t>2006 - 4PDCalifornia</t>
  </si>
  <si>
    <t>2007 - 1PDCalifornia</t>
  </si>
  <si>
    <t>2007 - 2PDCalifornia</t>
  </si>
  <si>
    <t>2007 - 3PDCalifornia</t>
  </si>
  <si>
    <t>2007 - 4PDCalifornia</t>
  </si>
  <si>
    <t>2008 - 1PDCalifornia</t>
  </si>
  <si>
    <t>2008 - 2PDCalifornia</t>
  </si>
  <si>
    <t>2008 - 3PDCalifornia</t>
  </si>
  <si>
    <t>2008 - 4PDCalifornia</t>
  </si>
  <si>
    <t>2009 - 1PDCalifornia</t>
  </si>
  <si>
    <t>2004 - 1PDMulti-state</t>
  </si>
  <si>
    <t>2004 - 2PDMulti-state</t>
  </si>
  <si>
    <t>2004 - 3PDMulti-state</t>
  </si>
  <si>
    <t>2004 - 4PDMulti-state</t>
  </si>
  <si>
    <t>2005 - 1PDMulti-state</t>
  </si>
  <si>
    <t>2005 - 2PDMulti-state</t>
  </si>
  <si>
    <t>2005 - 3PDMulti-state</t>
  </si>
  <si>
    <t>2005 - 4PDMulti-state</t>
  </si>
  <si>
    <t>2006 - 1PDMulti-state</t>
  </si>
  <si>
    <t>2006 - 2PDMulti-state</t>
  </si>
  <si>
    <t>2006 - 3PDMulti-state</t>
  </si>
  <si>
    <t>2006 - 4PDMulti-state</t>
  </si>
  <si>
    <t>2007 - 1PDMulti-state</t>
  </si>
  <si>
    <t>2007 - 2PDMulti-state</t>
  </si>
  <si>
    <t>2007 - 3PDMulti-state</t>
  </si>
  <si>
    <t>2007 - 4PDMulti-state</t>
  </si>
  <si>
    <t>2008 - 1PDMulti-state</t>
  </si>
  <si>
    <t>2008 - 2PDMulti-state</t>
  </si>
  <si>
    <t>2008 - 3PDMulti-state</t>
  </si>
  <si>
    <t>2008 - 4PDMulti-state</t>
  </si>
  <si>
    <t>2009 - 1PDMulti-state</t>
  </si>
  <si>
    <t>2004 - 1PIPMulti-state</t>
  </si>
  <si>
    <t>2004 - 2PIPMulti-state</t>
  </si>
  <si>
    <t>2004 - 3PIPMulti-state</t>
  </si>
  <si>
    <t>2004 - 4PIPMulti-state</t>
  </si>
  <si>
    <t>2005 - 1PIPMulti-state</t>
  </si>
  <si>
    <t>2005 - 2PIPMulti-state</t>
  </si>
  <si>
    <t>2005 - 3PIPMulti-state</t>
  </si>
  <si>
    <t>2005 - 4PIPMulti-state</t>
  </si>
  <si>
    <t>2006 - 1PIPMulti-state</t>
  </si>
  <si>
    <t>2006 - 2PIPMulti-state</t>
  </si>
  <si>
    <t>2006 - 3PIPMulti-state</t>
  </si>
  <si>
    <t>2006 - 4PIPMulti-state</t>
  </si>
  <si>
    <t>2007 - 1PIPMulti-state</t>
  </si>
  <si>
    <t>2007 - 2PIPMulti-state</t>
  </si>
  <si>
    <t>2007 - 3PIPMulti-state</t>
  </si>
  <si>
    <t>2007 - 4PIPMulti-state</t>
  </si>
  <si>
    <t>2008 - 1PIPMulti-state</t>
  </si>
  <si>
    <t>2008 - 2PIPMulti-state</t>
  </si>
  <si>
    <t>2008 - 3PIPMulti-state</t>
  </si>
  <si>
    <t>2008 - 4PIPMulti-state</t>
  </si>
  <si>
    <t>2009 - 1PIPMulti-state</t>
  </si>
  <si>
    <t>2004 - 1PPIMulti-state</t>
  </si>
  <si>
    <t>2004 - 2PPIMulti-state</t>
  </si>
  <si>
    <t>2004 - 3PPIMulti-state</t>
  </si>
  <si>
    <t>2004 - 4PPIMulti-state</t>
  </si>
  <si>
    <t>2005 - 1PPIMulti-state</t>
  </si>
  <si>
    <t>2005 - 2PPIMulti-state</t>
  </si>
  <si>
    <t>2005 - 3PPIMulti-state</t>
  </si>
  <si>
    <t>2005 - 4PPIMulti-state</t>
  </si>
  <si>
    <t>2006 - 1PPIMulti-state</t>
  </si>
  <si>
    <t>2006 - 2PPIMulti-state</t>
  </si>
  <si>
    <t>2006 - 3PPIMulti-state</t>
  </si>
  <si>
    <t>2006 - 4PPIMulti-state</t>
  </si>
  <si>
    <t>2007 - 1PPIMulti-state</t>
  </si>
  <si>
    <t>2007 - 2PPIMulti-state</t>
  </si>
  <si>
    <t>2007 - 3PPIMulti-state</t>
  </si>
  <si>
    <t>2007 - 4PPIMulti-state</t>
  </si>
  <si>
    <t>2008 - 1PPIMulti-state</t>
  </si>
  <si>
    <t>2008 - 2PPIMulti-state</t>
  </si>
  <si>
    <t>2008 - 3PPIMulti-state</t>
  </si>
  <si>
    <t>2008 - 4PPIMulti-state</t>
  </si>
  <si>
    <t>2009 - 1PPIMulti-state</t>
  </si>
  <si>
    <t>TPremium</t>
  </si>
  <si>
    <t>TFrequency</t>
  </si>
  <si>
    <t>TSeverity</t>
  </si>
  <si>
    <t>TAFrequency</t>
  </si>
  <si>
    <t>Linear1BIArizona</t>
  </si>
  <si>
    <t>Linear2BIArizona</t>
  </si>
  <si>
    <t>Linear3BIArizona</t>
  </si>
  <si>
    <t>Linear4BIArizona</t>
  </si>
  <si>
    <t>Linear1BICalifornia</t>
  </si>
  <si>
    <t>Linear2BICalifornia</t>
  </si>
  <si>
    <t>Linear3BICalifornia</t>
  </si>
  <si>
    <t>Linear4BICalifornia</t>
  </si>
  <si>
    <t>Linear1BIMulti-state</t>
  </si>
  <si>
    <t>Linear2BIMulti-state</t>
  </si>
  <si>
    <t>Linear3BIMulti-state</t>
  </si>
  <si>
    <t>Linear4BIMulti-state</t>
  </si>
  <si>
    <t>Linear1COLLArizona</t>
  </si>
  <si>
    <t>Linear2COLLArizona</t>
  </si>
  <si>
    <t>Linear3COLLArizona</t>
  </si>
  <si>
    <t>Linear4COLLArizona</t>
  </si>
  <si>
    <t>Linear1COLLCalifornia</t>
  </si>
  <si>
    <t>Linear2COLLCalifornia</t>
  </si>
  <si>
    <t>Linear3COLLCalifornia</t>
  </si>
  <si>
    <t>Linear4COLLCalifornia</t>
  </si>
  <si>
    <t>Linear1COLLMulti-state</t>
  </si>
  <si>
    <t>Linear2COLLMulti-state</t>
  </si>
  <si>
    <t>Linear3COLLMulti-state</t>
  </si>
  <si>
    <t>Linear4COLLMulti-state</t>
  </si>
  <si>
    <t>Linear1COMPArizona</t>
  </si>
  <si>
    <t>Linear2COMPArizona</t>
  </si>
  <si>
    <t>Linear3COMPArizona</t>
  </si>
  <si>
    <t>Linear4COMPArizona</t>
  </si>
  <si>
    <t>Linear1COMPCalifornia</t>
  </si>
  <si>
    <t>Linear2COMPCalifornia</t>
  </si>
  <si>
    <t>Linear3COMPCalifornia</t>
  </si>
  <si>
    <t>Linear4COMPCalifornia</t>
  </si>
  <si>
    <t>Linear1COMPMulti-state</t>
  </si>
  <si>
    <t>Linear2COMPMulti-state</t>
  </si>
  <si>
    <t>Linear3COMPMulti-state</t>
  </si>
  <si>
    <t>Linear4COMPMulti-state</t>
  </si>
  <si>
    <t>Linear1PDArizona</t>
  </si>
  <si>
    <t>Linear2PDArizona</t>
  </si>
  <si>
    <t>Linear3PDArizona</t>
  </si>
  <si>
    <t>Linear4PDArizona</t>
  </si>
  <si>
    <t>Linear1PDCalifornia</t>
  </si>
  <si>
    <t>Linear2PDCalifornia</t>
  </si>
  <si>
    <t>Linear3PDCalifornia</t>
  </si>
  <si>
    <t>Linear4PDCalifornia</t>
  </si>
  <si>
    <t>Linear1PDMulti-state</t>
  </si>
  <si>
    <t>Linear2PDMulti-state</t>
  </si>
  <si>
    <t>Linear3PDMulti-state</t>
  </si>
  <si>
    <t>Linear4PDMulti-state</t>
  </si>
  <si>
    <t>Linear1PIPMulti-state</t>
  </si>
  <si>
    <t>Linear2PIPMulti-state</t>
  </si>
  <si>
    <t>Linear3PIPMulti-state</t>
  </si>
  <si>
    <t>Linear4PIPMulti-state</t>
  </si>
  <si>
    <t>Linear1PPIMulti-state</t>
  </si>
  <si>
    <t>Linear2PPIMulti-state</t>
  </si>
  <si>
    <t>Linear3PPIMulti-state</t>
  </si>
  <si>
    <t>Linear4PPIMulti-state</t>
  </si>
  <si>
    <t>Expon1BIArizona</t>
  </si>
  <si>
    <t>Expon2BIArizona</t>
  </si>
  <si>
    <t>Expon3BIArizona</t>
  </si>
  <si>
    <t>Expon4BIArizona</t>
  </si>
  <si>
    <t>Expon1BICalifornia</t>
  </si>
  <si>
    <t>Expon2BICalifornia</t>
  </si>
  <si>
    <t>Expon3BICalifornia</t>
  </si>
  <si>
    <t>Expon4BICalifornia</t>
  </si>
  <si>
    <t>Expon1BIMulti-state</t>
  </si>
  <si>
    <t>Expon2BIMulti-state</t>
  </si>
  <si>
    <t>Expon3BIMulti-state</t>
  </si>
  <si>
    <t>Expon4BIMulti-state</t>
  </si>
  <si>
    <t>Expon1COLLArizona</t>
  </si>
  <si>
    <t>Expon2COLLArizona</t>
  </si>
  <si>
    <t>Expon3COLLArizona</t>
  </si>
  <si>
    <t>Expon4COLLArizona</t>
  </si>
  <si>
    <t>Expon1COLLCalifornia</t>
  </si>
  <si>
    <t>Expon2COLLCalifornia</t>
  </si>
  <si>
    <t>Expon3COLLCalifornia</t>
  </si>
  <si>
    <t>Expon4COLLCalifornia</t>
  </si>
  <si>
    <t>Expon1COLLMulti-state</t>
  </si>
  <si>
    <t>Expon2COLLMulti-state</t>
  </si>
  <si>
    <t>Expon3COLLMulti-state</t>
  </si>
  <si>
    <t>Expon4COLLMulti-state</t>
  </si>
  <si>
    <t>Expon1COMPArizona</t>
  </si>
  <si>
    <t>Expon2COMPArizona</t>
  </si>
  <si>
    <t>Expon3COMPArizona</t>
  </si>
  <si>
    <t>Expon4COMPArizona</t>
  </si>
  <si>
    <t>Expon1COMPCalifornia</t>
  </si>
  <si>
    <t>Expon2COMPCalifornia</t>
  </si>
  <si>
    <t>Expon3COMPCalifornia</t>
  </si>
  <si>
    <t>Expon4COMPCalifornia</t>
  </si>
  <si>
    <t>Expon1COMPMulti-state</t>
  </si>
  <si>
    <t>Expon2COMPMulti-state</t>
  </si>
  <si>
    <t>Expon3COMPMulti-state</t>
  </si>
  <si>
    <t>Expon4COMPMulti-state</t>
  </si>
  <si>
    <t>Expon1PDArizona</t>
  </si>
  <si>
    <t>Expon2PDArizona</t>
  </si>
  <si>
    <t>Expon3PDArizona</t>
  </si>
  <si>
    <t>Expon4PDArizona</t>
  </si>
  <si>
    <t>Expon1PDCalifornia</t>
  </si>
  <si>
    <t>Expon2PDCalifornia</t>
  </si>
  <si>
    <t>Expon3PDCalifornia</t>
  </si>
  <si>
    <t>Expon4PDCalifornia</t>
  </si>
  <si>
    <t>Expon1PDMulti-state</t>
  </si>
  <si>
    <t>Expon2PDMulti-state</t>
  </si>
  <si>
    <t>Expon3PDMulti-state</t>
  </si>
  <si>
    <t>Expon4PDMulti-state</t>
  </si>
  <si>
    <t>Expon1PIPMulti-state</t>
  </si>
  <si>
    <t>Expon2PIPMulti-state</t>
  </si>
  <si>
    <t>Expon3PIPMulti-state</t>
  </si>
  <si>
    <t>Expon4PIPMulti-state</t>
  </si>
  <si>
    <t>Expon1PPIMulti-state</t>
  </si>
  <si>
    <t>Expon2PPIMulti-state</t>
  </si>
  <si>
    <t>Expon3PPIMulti-state</t>
  </si>
  <si>
    <t>Expon4PPIMulti-state</t>
  </si>
  <si>
    <t>LR-Sqr1BIArizona</t>
  </si>
  <si>
    <t>LR-Sqr2BIArizona</t>
  </si>
  <si>
    <t>LR-Sqr3BIArizona</t>
  </si>
  <si>
    <t>LR-Sqr4BIArizona</t>
  </si>
  <si>
    <t>LR-Sqr1BICalifornia</t>
  </si>
  <si>
    <t>LR-Sqr2BICalifornia</t>
  </si>
  <si>
    <t>LR-Sqr3BICalifornia</t>
  </si>
  <si>
    <t>LR-Sqr4BICalifornia</t>
  </si>
  <si>
    <t>LR-Sqr1BIMulti-state</t>
  </si>
  <si>
    <t>LR-Sqr2BIMulti-state</t>
  </si>
  <si>
    <t>LR-Sqr3BIMulti-state</t>
  </si>
  <si>
    <t>LR-Sqr4BIMulti-state</t>
  </si>
  <si>
    <t>LR-Sqr1COLLArizona</t>
  </si>
  <si>
    <t>LR-Sqr2COLLArizona</t>
  </si>
  <si>
    <t>LR-Sqr3COLLArizona</t>
  </si>
  <si>
    <t>LR-Sqr4COLLArizona</t>
  </si>
  <si>
    <t>LR-Sqr1COLLCalifornia</t>
  </si>
  <si>
    <t>LR-Sqr2COLLCalifornia</t>
  </si>
  <si>
    <t>LR-Sqr3COLLCalifornia</t>
  </si>
  <si>
    <t>LR-Sqr4COLLCalifornia</t>
  </si>
  <si>
    <t>LR-Sqr1COLLMulti-state</t>
  </si>
  <si>
    <t>LR-Sqr2COLLMulti-state</t>
  </si>
  <si>
    <t>LR-Sqr3COLLMulti-state</t>
  </si>
  <si>
    <t>LR-Sqr4COLLMulti-state</t>
  </si>
  <si>
    <t>LR-Sqr1COMPArizona</t>
  </si>
  <si>
    <t>LR-Sqr2COMPArizona</t>
  </si>
  <si>
    <t>LR-Sqr3COMPArizona</t>
  </si>
  <si>
    <t>LR-Sqr4COMPArizona</t>
  </si>
  <si>
    <t>LR-Sqr1COMPCalifornia</t>
  </si>
  <si>
    <t>LR-Sqr2COMPCalifornia</t>
  </si>
  <si>
    <t>LR-Sqr3COMPCalifornia</t>
  </si>
  <si>
    <t>LR-Sqr4COMPCalifornia</t>
  </si>
  <si>
    <t>LR-Sqr1COMPMulti-state</t>
  </si>
  <si>
    <t>LR-Sqr2COMPMulti-state</t>
  </si>
  <si>
    <t>LR-Sqr3COMPMulti-state</t>
  </si>
  <si>
    <t>LR-Sqr4COMPMulti-state</t>
  </si>
  <si>
    <t>LR-Sqr1PDArizona</t>
  </si>
  <si>
    <t>LR-Sqr2PDArizona</t>
  </si>
  <si>
    <t>LR-Sqr3PDArizona</t>
  </si>
  <si>
    <t>LR-Sqr4PDArizona</t>
  </si>
  <si>
    <t>LR-Sqr1PDCalifornia</t>
  </si>
  <si>
    <t>LR-Sqr2PDCalifornia</t>
  </si>
  <si>
    <t>LR-Sqr3PDCalifornia</t>
  </si>
  <si>
    <t>LR-Sqr4PDCalifornia</t>
  </si>
  <si>
    <t>LR-Sqr1PDMulti-state</t>
  </si>
  <si>
    <t>LR-Sqr2PDMulti-state</t>
  </si>
  <si>
    <t>LR-Sqr3PDMulti-state</t>
  </si>
  <si>
    <t>LR-Sqr4PDMulti-state</t>
  </si>
  <si>
    <t>LR-Sqr1PIPMulti-state</t>
  </si>
  <si>
    <t>LR-Sqr2PIPMulti-state</t>
  </si>
  <si>
    <t>LR-Sqr3PIPMulti-state</t>
  </si>
  <si>
    <t>LR-Sqr4PIPMulti-state</t>
  </si>
  <si>
    <t>LR-Sqr1PPIMulti-state</t>
  </si>
  <si>
    <t>LR-Sqr2PPIMulti-state</t>
  </si>
  <si>
    <t>LR-Sqr3PPIMulti-state</t>
  </si>
  <si>
    <t>LR-Sqr4PPIMulti-state</t>
  </si>
  <si>
    <t>ER-Sqr1BIArizona</t>
  </si>
  <si>
    <t>ER-Sqr2BIArizona</t>
  </si>
  <si>
    <t>ER-Sqr3BIArizona</t>
  </si>
  <si>
    <t>ER-Sqr4BIArizona</t>
  </si>
  <si>
    <t>ER-Sqr1BICalifornia</t>
  </si>
  <si>
    <t>ER-Sqr2BICalifornia</t>
  </si>
  <si>
    <t>ER-Sqr3BICalifornia</t>
  </si>
  <si>
    <t>ER-Sqr4BICalifornia</t>
  </si>
  <si>
    <t>ER-Sqr1BIMulti-state</t>
  </si>
  <si>
    <t>ER-Sqr2BIMulti-state</t>
  </si>
  <si>
    <t>ER-Sqr3BIMulti-state</t>
  </si>
  <si>
    <t>ER-Sqr4BIMulti-state</t>
  </si>
  <si>
    <t>ER-Sqr1COLLArizona</t>
  </si>
  <si>
    <t>ER-Sqr2COLLArizona</t>
  </si>
  <si>
    <t>ER-Sqr3COLLArizona</t>
  </si>
  <si>
    <t>ER-Sqr4COLLArizona</t>
  </si>
  <si>
    <t>ER-Sqr1COLLCalifornia</t>
  </si>
  <si>
    <t>ER-Sqr2COLLCalifornia</t>
  </si>
  <si>
    <t>ER-Sqr3COLLCalifornia</t>
  </si>
  <si>
    <t>ER-Sqr4COLLCalifornia</t>
  </si>
  <si>
    <t>ER-Sqr1COLLMulti-state</t>
  </si>
  <si>
    <t>ER-Sqr2COLLMulti-state</t>
  </si>
  <si>
    <t>ER-Sqr3COLLMulti-state</t>
  </si>
  <si>
    <t>ER-Sqr4COLLMulti-state</t>
  </si>
  <si>
    <t>ER-Sqr1COMPArizona</t>
  </si>
  <si>
    <t>ER-Sqr2COMPArizona</t>
  </si>
  <si>
    <t>ER-Sqr3COMPArizona</t>
  </si>
  <si>
    <t>ER-Sqr4COMPArizona</t>
  </si>
  <si>
    <t>ER-Sqr1COMPCalifornia</t>
  </si>
  <si>
    <t>ER-Sqr2COMPCalifornia</t>
  </si>
  <si>
    <t>ER-Sqr3COMPCalifornia</t>
  </si>
  <si>
    <t>ER-Sqr4COMPCalifornia</t>
  </si>
  <si>
    <t>ER-Sqr1COMPMulti-state</t>
  </si>
  <si>
    <t>ER-Sqr2COMPMulti-state</t>
  </si>
  <si>
    <t>ER-Sqr3COMPMulti-state</t>
  </si>
  <si>
    <t>ER-Sqr4COMPMulti-state</t>
  </si>
  <si>
    <t>ER-Sqr1PDArizona</t>
  </si>
  <si>
    <t>ER-Sqr2PDArizona</t>
  </si>
  <si>
    <t>ER-Sqr3PDArizona</t>
  </si>
  <si>
    <t>ER-Sqr4PDArizona</t>
  </si>
  <si>
    <t>ER-Sqr1PDCalifornia</t>
  </si>
  <si>
    <t>ER-Sqr2PDCalifornia</t>
  </si>
  <si>
    <t>ER-Sqr3PDCalifornia</t>
  </si>
  <si>
    <t>ER-Sqr4PDCalifornia</t>
  </si>
  <si>
    <t>ER-Sqr1PDMulti-state</t>
  </si>
  <si>
    <t>ER-Sqr2PDMulti-state</t>
  </si>
  <si>
    <t>ER-Sqr3PDMulti-state</t>
  </si>
  <si>
    <t>ER-Sqr4PDMulti-state</t>
  </si>
  <si>
    <t>ER-Sqr1PIPMulti-state</t>
  </si>
  <si>
    <t>ER-Sqr2PIPMulti-state</t>
  </si>
  <si>
    <t>ER-Sqr3PIPMulti-state</t>
  </si>
  <si>
    <t>ER-Sqr4PIPMulti-state</t>
  </si>
  <si>
    <t>ER-Sqr1PPIMulti-state</t>
  </si>
  <si>
    <t>ER-Sqr2PPIMulti-state</t>
  </si>
  <si>
    <t>ER-Sqr3PPIMulti-state</t>
  </si>
  <si>
    <t>ER-Sqr4PPIMulti-state</t>
  </si>
  <si>
    <t>N/A</t>
  </si>
  <si>
    <t>EarnedPremium</t>
  </si>
  <si>
    <t>IncurredLosses</t>
  </si>
  <si>
    <t>2004 - 1BI+PDArizona</t>
  </si>
  <si>
    <t>2004 - 2BI+PDArizona</t>
  </si>
  <si>
    <t>2004 - 3BI+PDArizona</t>
  </si>
  <si>
    <t>2004 - 4BI+PDArizona</t>
  </si>
  <si>
    <t>2005 - 1BI+PDArizona</t>
  </si>
  <si>
    <t>2005 - 2BI+PDArizona</t>
  </si>
  <si>
    <t>2005 - 3BI+PDArizona</t>
  </si>
  <si>
    <t>2005 - 4BI+PDArizona</t>
  </si>
  <si>
    <t>2006 - 1BI+PDArizona</t>
  </si>
  <si>
    <t>2006 - 2BI+PDArizona</t>
  </si>
  <si>
    <t>2006 - 3BI+PDArizona</t>
  </si>
  <si>
    <t>2006 - 4BI+PDArizona</t>
  </si>
  <si>
    <t>2007 - 1BI+PDArizona</t>
  </si>
  <si>
    <t>2007 - 2BI+PDArizona</t>
  </si>
  <si>
    <t>2007 - 3BI+PDArizona</t>
  </si>
  <si>
    <t>2007 - 4BI+PDArizona</t>
  </si>
  <si>
    <t>2008 - 1BI+PDArizona</t>
  </si>
  <si>
    <t>2008 - 2BI+PDArizona</t>
  </si>
  <si>
    <t>2008 - 3BI+PDArizona</t>
  </si>
  <si>
    <t>2008 - 4BI+PDArizona</t>
  </si>
  <si>
    <t>2009 - 1BI+PDArizona</t>
  </si>
  <si>
    <t>2004 - 1BI+PDCalifornia</t>
  </si>
  <si>
    <t>2004 - 2BI+PDCalifornia</t>
  </si>
  <si>
    <t>2004 - 3BI+PDCalifornia</t>
  </si>
  <si>
    <t>2004 - 4BI+PDCalifornia</t>
  </si>
  <si>
    <t>2005 - 1BI+PDCalifornia</t>
  </si>
  <si>
    <t>2005 - 2BI+PDCalifornia</t>
  </si>
  <si>
    <t>2005 - 3BI+PDCalifornia</t>
  </si>
  <si>
    <t>2005 - 4BI+PDCalifornia</t>
  </si>
  <si>
    <t>2006 - 1BI+PDCalifornia</t>
  </si>
  <si>
    <t>2006 - 2BI+PDCalifornia</t>
  </si>
  <si>
    <t>2006 - 3BI+PDCalifornia</t>
  </si>
  <si>
    <t>2006 - 4BI+PDCalifornia</t>
  </si>
  <si>
    <t>2007 - 1BI+PDCalifornia</t>
  </si>
  <si>
    <t>2007 - 2BI+PDCalifornia</t>
  </si>
  <si>
    <t>2007 - 3BI+PDCalifornia</t>
  </si>
  <si>
    <t>2007 - 4BI+PDCalifornia</t>
  </si>
  <si>
    <t>2008 - 1BI+PDCalifornia</t>
  </si>
  <si>
    <t>2008 - 2BI+PDCalifornia</t>
  </si>
  <si>
    <t>2008 - 3BI+PDCalifornia</t>
  </si>
  <si>
    <t>2008 - 4BI+PDCalifornia</t>
  </si>
  <si>
    <t>2009 - 1BI+PDCalifornia</t>
  </si>
  <si>
    <t>2004 - 1BI+PDMulti-state</t>
  </si>
  <si>
    <t>2004 - 2BI+PDMulti-state</t>
  </si>
  <si>
    <t>2004 - 3BI+PDMulti-state</t>
  </si>
  <si>
    <t>2004 - 4BI+PDMulti-state</t>
  </si>
  <si>
    <t>2005 - 1BI+PDMulti-state</t>
  </si>
  <si>
    <t>2005 - 2BI+PDMulti-state</t>
  </si>
  <si>
    <t>2005 - 3BI+PDMulti-state</t>
  </si>
  <si>
    <t>2005 - 4BI+PDMulti-state</t>
  </si>
  <si>
    <t>2006 - 1BI+PDMulti-state</t>
  </si>
  <si>
    <t>2006 - 2BI+PDMulti-state</t>
  </si>
  <si>
    <t>2006 - 3BI+PDMulti-state</t>
  </si>
  <si>
    <t>2006 - 4BI+PDMulti-state</t>
  </si>
  <si>
    <t>2007 - 1BI+PDMulti-state</t>
  </si>
  <si>
    <t>2007 - 2BI+PDMulti-state</t>
  </si>
  <si>
    <t>2007 - 3BI+PDMulti-state</t>
  </si>
  <si>
    <t>2007 - 4BI+PDMulti-state</t>
  </si>
  <si>
    <t>2008 - 1BI+PDMulti-state</t>
  </si>
  <si>
    <t>2008 - 2BI+PDMulti-state</t>
  </si>
  <si>
    <t>2008 - 3BI+PDMulti-state</t>
  </si>
  <si>
    <t>2008 - 4BI+PDMulti-state</t>
  </si>
  <si>
    <t>2009 - 1BI+PDMulti-state</t>
  </si>
  <si>
    <t>F0910108</t>
  </si>
  <si>
    <t>State</t>
  </si>
  <si>
    <t>Type</t>
  </si>
  <si>
    <t>Coverage</t>
  </si>
  <si>
    <t>F0910110</t>
  </si>
  <si>
    <t>F0910120</t>
  </si>
  <si>
    <t>F0919901</t>
  </si>
  <si>
    <t>F0919904</t>
  </si>
  <si>
    <t>F0919910</t>
  </si>
  <si>
    <t>F0919920</t>
  </si>
  <si>
    <t>F0919979</t>
  </si>
  <si>
    <t>F0919981</t>
  </si>
  <si>
    <t>2004 - 4</t>
  </si>
  <si>
    <t>2005 - 1</t>
  </si>
  <si>
    <t>2005 - 2</t>
  </si>
  <si>
    <t>2005 - 3</t>
  </si>
  <si>
    <t>2005 - 4</t>
  </si>
  <si>
    <t>2006 - 1</t>
  </si>
  <si>
    <t>2006 - 2</t>
  </si>
  <si>
    <t>2006 - 3</t>
  </si>
  <si>
    <t>2006 - 4</t>
  </si>
  <si>
    <t>2007 - 1</t>
  </si>
  <si>
    <t>2007 - 2</t>
  </si>
  <si>
    <t>2007 - 3</t>
  </si>
  <si>
    <t>2007 - 4</t>
  </si>
  <si>
    <t>2008 - 1</t>
  </si>
  <si>
    <t>2008 - 2</t>
  </si>
  <si>
    <t>2008 - 3</t>
  </si>
  <si>
    <t>2008 - 4</t>
  </si>
  <si>
    <t>2009 - 1</t>
  </si>
  <si>
    <t>2009 - 2</t>
  </si>
  <si>
    <t>2009 - 3</t>
  </si>
  <si>
    <t>B3:AB48</t>
  </si>
  <si>
    <t>B50:AB72</t>
  </si>
  <si>
    <t>2004 - 1</t>
  </si>
  <si>
    <t>2004 - 2</t>
  </si>
  <si>
    <t>2004 - 3</t>
  </si>
  <si>
    <t>A6:M31</t>
  </si>
  <si>
    <t>YEAR</t>
  </si>
  <si>
    <t>A35:M57</t>
  </si>
  <si>
    <t>PRIVATE PASSENGER LIABILITY</t>
  </si>
  <si>
    <t>PROPERTY DAMAGE</t>
  </si>
  <si>
    <t>A68:M93</t>
  </si>
  <si>
    <t>A97:M119</t>
  </si>
  <si>
    <t>PRIVATE PASS. PHYSICAL DAMAGE</t>
  </si>
  <si>
    <t>ALL COMPREHENSIVE COMBINED</t>
  </si>
  <si>
    <t>A130:M155</t>
  </si>
  <si>
    <t>A159:M181</t>
  </si>
  <si>
    <t>ALL COLLISION COMBINED</t>
  </si>
  <si>
    <t>A192:M217</t>
  </si>
  <si>
    <t>A221:M243</t>
  </si>
  <si>
    <t>A254:M279</t>
  </si>
  <si>
    <t>A283:M305</t>
  </si>
  <si>
    <t>A316:M341</t>
  </si>
  <si>
    <t>A345:M367</t>
  </si>
  <si>
    <t>Losses exclude all loss adjustment expenses</t>
  </si>
  <si>
    <t>YEAR ENDING</t>
  </si>
  <si>
    <t>A7:F29</t>
  </si>
  <si>
    <t>A33:F54</t>
  </si>
  <si>
    <t>Losses include all loss adjustment expenses and adjustment for IBNR</t>
  </si>
  <si>
    <t>A66:L88</t>
  </si>
  <si>
    <t>A94:L113</t>
  </si>
  <si>
    <t>*Frequency is per 100 earned car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</si>
</sst>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14" x14ac:knownFonts="1">
    <font>
      <sz val="10"/>
      <name val="Arial"/>
    </font>
    <font>
      <b/>
      <sz val="10"/>
      <name val="Arial"/>
    </font>
    <font>
      <sz val="10"/>
      <color indexed="8"/>
      <name val="Arial"/>
    </font>
    <font>
      <u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1" applyBorder="1" applyAlignment="1">
      <alignment wrapText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quotePrefix="1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3" fontId="5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"/>
    </xf>
    <xf numFmtId="3" fontId="7" fillId="0" borderId="0" xfId="0" applyNumberFormat="1" applyFont="1"/>
    <xf numFmtId="4" fontId="7" fillId="0" borderId="0" xfId="0" applyNumberFormat="1" applyFont="1"/>
    <xf numFmtId="0" fontId="7" fillId="0" borderId="0" xfId="0" applyFont="1"/>
    <xf numFmtId="3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3" fontId="5" fillId="0" borderId="0" xfId="0" quotePrefix="1" applyNumberFormat="1" applyFont="1" applyAlignment="1">
      <alignment horizontal="center"/>
    </xf>
    <xf numFmtId="0" fontId="0" fillId="0" borderId="0" xfId="0" quotePrefix="1" applyAlignment="1">
      <alignment horizontal="left"/>
    </xf>
    <xf numFmtId="164" fontId="7" fillId="0" borderId="0" xfId="0" applyNumberFormat="1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165" fontId="7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4" fontId="6" fillId="0" borderId="0" xfId="0" applyNumberFormat="1" applyFont="1"/>
    <xf numFmtId="3" fontId="6" fillId="0" borderId="0" xfId="0" applyNumberFormat="1" applyFont="1"/>
    <xf numFmtId="0" fontId="13" fillId="0" borderId="1" xfId="1" applyFont="1" applyBorder="1" applyAlignment="1">
      <alignment wrapText="1"/>
    </xf>
    <xf numFmtId="10" fontId="0" fillId="0" borderId="0" xfId="0" applyNumberFormat="1"/>
    <xf numFmtId="166" fontId="0" fillId="0" borderId="0" xfId="0" applyNumberFormat="1"/>
    <xf numFmtId="0" fontId="6" fillId="0" borderId="0" xfId="0" quotePrefix="1" applyFont="1" applyAlignment="1">
      <alignment horizontal="left"/>
    </xf>
    <xf numFmtId="0" fontId="1" fillId="0" borderId="2" xfId="0" applyFont="1" applyBorder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8" fillId="0" borderId="0" xfId="0" quotePrefix="1" applyFont="1" applyAlignment="1">
      <alignment horizontal="center"/>
    </xf>
  </cellXfs>
  <cellStyles count="2">
    <cellStyle name="Normal" xfId="0" builtinId="0"/>
    <cellStyle name="Normal_Sheet5" xfId="1" xr:uid="{F83E3F75-8877-4F81-BBD2-CFA533181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Bodily Injury Pure Premium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5991814620301"/>
          <c:y val="0.11111148787261242"/>
          <c:w val="0.82597507352763988"/>
          <c:h val="0.51389063141083247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PurePremiumTrends!$D$11:$D$28</c:f>
              <c:numCache>
                <c:formatCode>#,##0.00</c:formatCode>
                <c:ptCount val="18"/>
                <c:pt idx="0">
                  <c:v>108.55759999999999</c:v>
                </c:pt>
                <c:pt idx="1">
                  <c:v>108.1057</c:v>
                </c:pt>
                <c:pt idx="2">
                  <c:v>107.6974</c:v>
                </c:pt>
                <c:pt idx="3">
                  <c:v>107.0116</c:v>
                </c:pt>
                <c:pt idx="4">
                  <c:v>105.5736</c:v>
                </c:pt>
                <c:pt idx="5">
                  <c:v>105.7273</c:v>
                </c:pt>
                <c:pt idx="6">
                  <c:v>105.3875</c:v>
                </c:pt>
                <c:pt idx="7">
                  <c:v>105.3883</c:v>
                </c:pt>
                <c:pt idx="8">
                  <c:v>106.6412</c:v>
                </c:pt>
                <c:pt idx="9">
                  <c:v>106.7826</c:v>
                </c:pt>
                <c:pt idx="10">
                  <c:v>107.0685</c:v>
                </c:pt>
                <c:pt idx="11">
                  <c:v>107.44799999999999</c:v>
                </c:pt>
                <c:pt idx="12">
                  <c:v>107.74460000000001</c:v>
                </c:pt>
                <c:pt idx="13">
                  <c:v>107.98260000000001</c:v>
                </c:pt>
                <c:pt idx="14">
                  <c:v>108.5564</c:v>
                </c:pt>
                <c:pt idx="15">
                  <c:v>109.14319999999999</c:v>
                </c:pt>
                <c:pt idx="16">
                  <c:v>109.74590000000001</c:v>
                </c:pt>
                <c:pt idx="17">
                  <c:v>109.479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E4-4414-883A-2D11034879D3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Sheet5!$U$1:$U$18</c:f>
              <c:numCache>
                <c:formatCode>General</c:formatCode>
                <c:ptCount val="18"/>
                <c:pt idx="0">
                  <c:v>108.55759999999999</c:v>
                </c:pt>
                <c:pt idx="1">
                  <c:v>108.1057</c:v>
                </c:pt>
                <c:pt idx="2">
                  <c:v>107.6974</c:v>
                </c:pt>
                <c:pt idx="3">
                  <c:v>107.0116</c:v>
                </c:pt>
                <c:pt idx="4">
                  <c:v>105.5736</c:v>
                </c:pt>
                <c:pt idx="5">
                  <c:v>105.7273</c:v>
                </c:pt>
                <c:pt idx="6">
                  <c:v>105.3875</c:v>
                </c:pt>
                <c:pt idx="7">
                  <c:v>105.3883</c:v>
                </c:pt>
                <c:pt idx="8">
                  <c:v>106.6412</c:v>
                </c:pt>
                <c:pt idx="9">
                  <c:v>106.7826</c:v>
                </c:pt>
                <c:pt idx="10">
                  <c:v>107.0685</c:v>
                </c:pt>
                <c:pt idx="11">
                  <c:v>107.44799999999999</c:v>
                </c:pt>
                <c:pt idx="12">
                  <c:v>107.74460000000001</c:v>
                </c:pt>
                <c:pt idx="13">
                  <c:v>107.98260000000001</c:v>
                </c:pt>
                <c:pt idx="14">
                  <c:v>108.5564</c:v>
                </c:pt>
                <c:pt idx="15">
                  <c:v>109.14319999999999</c:v>
                </c:pt>
                <c:pt idx="16">
                  <c:v>109.74590000000001</c:v>
                </c:pt>
                <c:pt idx="17">
                  <c:v>109.479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E4-4414-883A-2D110348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321560"/>
        <c:axId val="1"/>
      </c:lineChart>
      <c:catAx>
        <c:axId val="1151321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805249343832018"/>
              <c:y val="0.756946996208807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1321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0909090909090912E-2"/>
          <c:y val="0.80208588509769618"/>
          <c:w val="0.97402706479871826"/>
          <c:h val="0.87153069407990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Comprehensive Average Claim Cost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5213582099205"/>
          <c:y val="0.11111148787261242"/>
          <c:w val="0.82597507352763988"/>
          <c:h val="0.52083509940287065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PurePremiumTrends!$O$11:$O$28</c:f>
              <c:numCache>
                <c:formatCode>#,##0</c:formatCode>
                <c:ptCount val="18"/>
                <c:pt idx="0">
                  <c:v>954.16980000000001</c:v>
                </c:pt>
                <c:pt idx="1">
                  <c:v>959.79610000000002</c:v>
                </c:pt>
                <c:pt idx="2">
                  <c:v>958.10500000000002</c:v>
                </c:pt>
                <c:pt idx="3">
                  <c:v>975.93669999999997</c:v>
                </c:pt>
                <c:pt idx="4">
                  <c:v>1095.6557</c:v>
                </c:pt>
                <c:pt idx="5">
                  <c:v>1128.6201000000001</c:v>
                </c:pt>
                <c:pt idx="6">
                  <c:v>1174.0245</c:v>
                </c:pt>
                <c:pt idx="7">
                  <c:v>1177.972</c:v>
                </c:pt>
                <c:pt idx="8">
                  <c:v>1082.7726</c:v>
                </c:pt>
                <c:pt idx="9">
                  <c:v>1085.2955999999999</c:v>
                </c:pt>
                <c:pt idx="10">
                  <c:v>1065.1863000000001</c:v>
                </c:pt>
                <c:pt idx="11">
                  <c:v>1071.9786999999999</c:v>
                </c:pt>
                <c:pt idx="12">
                  <c:v>1068.5542</c:v>
                </c:pt>
                <c:pt idx="13">
                  <c:v>1081.5400999999999</c:v>
                </c:pt>
                <c:pt idx="14">
                  <c:v>1138.2030999999999</c:v>
                </c:pt>
                <c:pt idx="15">
                  <c:v>1171.0342000000001</c:v>
                </c:pt>
                <c:pt idx="16">
                  <c:v>1204.2996000000001</c:v>
                </c:pt>
                <c:pt idx="17">
                  <c:v>1195.856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53-49B8-BE06-2CBA7E51F579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Sheet5!$AF$1:$AF$18</c:f>
              <c:numCache>
                <c:formatCode>General</c:formatCode>
                <c:ptCount val="18"/>
                <c:pt idx="0">
                  <c:v>954.16980000000001</c:v>
                </c:pt>
                <c:pt idx="1">
                  <c:v>959.79610000000002</c:v>
                </c:pt>
                <c:pt idx="2">
                  <c:v>958.10500000000002</c:v>
                </c:pt>
                <c:pt idx="3">
                  <c:v>975.93669999999997</c:v>
                </c:pt>
                <c:pt idx="4">
                  <c:v>1095.6557</c:v>
                </c:pt>
                <c:pt idx="5">
                  <c:v>1128.6201000000001</c:v>
                </c:pt>
                <c:pt idx="6">
                  <c:v>1174.0245</c:v>
                </c:pt>
                <c:pt idx="7">
                  <c:v>1177.972</c:v>
                </c:pt>
                <c:pt idx="8">
                  <c:v>1082.7726</c:v>
                </c:pt>
                <c:pt idx="9">
                  <c:v>1085.2955999999999</c:v>
                </c:pt>
                <c:pt idx="10">
                  <c:v>1065.1863000000001</c:v>
                </c:pt>
                <c:pt idx="11">
                  <c:v>1071.9786999999999</c:v>
                </c:pt>
                <c:pt idx="12">
                  <c:v>1068.5542</c:v>
                </c:pt>
                <c:pt idx="13">
                  <c:v>1081.5400999999999</c:v>
                </c:pt>
                <c:pt idx="14">
                  <c:v>1138.2030999999999</c:v>
                </c:pt>
                <c:pt idx="15">
                  <c:v>1171.0342000000001</c:v>
                </c:pt>
                <c:pt idx="16">
                  <c:v>1204.2996000000001</c:v>
                </c:pt>
                <c:pt idx="17">
                  <c:v>1195.856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53-49B8-BE06-2CBA7E51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509872"/>
        <c:axId val="1"/>
      </c:lineChart>
      <c:catAx>
        <c:axId val="111550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662392200974876"/>
              <c:y val="0.763891440653251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550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6103896103896108E-2"/>
          <c:y val="0.82639180519101785"/>
          <c:w val="0.94805303882469227"/>
          <c:h val="0.8854199475065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Collision Pure Premium ($)</a:t>
            </a:r>
          </a:p>
        </c:rich>
      </c:tx>
      <c:layout>
        <c:manualLayout>
          <c:xMode val="edge"/>
          <c:yMode val="edge"/>
          <c:x val="1.2987012987012988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072683067763077"/>
          <c:w val="0.82597507352763988"/>
          <c:h val="0.51903201880139427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PurePremiumTrends!$Q$11:$Q$28</c:f>
              <c:numCache>
                <c:formatCode>#,##0.00</c:formatCode>
                <c:ptCount val="18"/>
                <c:pt idx="0">
                  <c:v>168.66919999999999</c:v>
                </c:pt>
                <c:pt idx="1">
                  <c:v>169.03380000000001</c:v>
                </c:pt>
                <c:pt idx="2">
                  <c:v>170.69479999999999</c:v>
                </c:pt>
                <c:pt idx="3">
                  <c:v>171.09870000000001</c:v>
                </c:pt>
                <c:pt idx="4">
                  <c:v>172.0515</c:v>
                </c:pt>
                <c:pt idx="5">
                  <c:v>171.1977</c:v>
                </c:pt>
                <c:pt idx="6">
                  <c:v>170.91650000000001</c:v>
                </c:pt>
                <c:pt idx="7">
                  <c:v>170.67089999999999</c:v>
                </c:pt>
                <c:pt idx="8">
                  <c:v>170.93819999999999</c:v>
                </c:pt>
                <c:pt idx="9">
                  <c:v>172.37190000000001</c:v>
                </c:pt>
                <c:pt idx="10">
                  <c:v>173.3929</c:v>
                </c:pt>
                <c:pt idx="11">
                  <c:v>174.08940000000001</c:v>
                </c:pt>
                <c:pt idx="12">
                  <c:v>175.10300000000001</c:v>
                </c:pt>
                <c:pt idx="13">
                  <c:v>176.67670000000001</c:v>
                </c:pt>
                <c:pt idx="14">
                  <c:v>175.4863</c:v>
                </c:pt>
                <c:pt idx="15">
                  <c:v>173.1387</c:v>
                </c:pt>
                <c:pt idx="16">
                  <c:v>171.40819999999999</c:v>
                </c:pt>
                <c:pt idx="17">
                  <c:v>169.2107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73-43FF-81CF-A8D457DAE9C6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Sheet5!$AH$1:$AH$18</c:f>
              <c:numCache>
                <c:formatCode>General</c:formatCode>
                <c:ptCount val="18"/>
                <c:pt idx="0">
                  <c:v>168.66919999999999</c:v>
                </c:pt>
                <c:pt idx="1">
                  <c:v>169.03380000000001</c:v>
                </c:pt>
                <c:pt idx="2">
                  <c:v>170.69479999999999</c:v>
                </c:pt>
                <c:pt idx="3">
                  <c:v>171.09870000000001</c:v>
                </c:pt>
                <c:pt idx="4">
                  <c:v>172.0515</c:v>
                </c:pt>
                <c:pt idx="5">
                  <c:v>171.1977</c:v>
                </c:pt>
                <c:pt idx="6">
                  <c:v>170.91650000000001</c:v>
                </c:pt>
                <c:pt idx="7">
                  <c:v>170.67089999999999</c:v>
                </c:pt>
                <c:pt idx="8">
                  <c:v>170.93819999999999</c:v>
                </c:pt>
                <c:pt idx="9">
                  <c:v>172.37190000000001</c:v>
                </c:pt>
                <c:pt idx="10">
                  <c:v>173.3929</c:v>
                </c:pt>
                <c:pt idx="11">
                  <c:v>174.08940000000001</c:v>
                </c:pt>
                <c:pt idx="12">
                  <c:v>175.10300000000001</c:v>
                </c:pt>
                <c:pt idx="13">
                  <c:v>176.67670000000001</c:v>
                </c:pt>
                <c:pt idx="14">
                  <c:v>175.4863</c:v>
                </c:pt>
                <c:pt idx="15">
                  <c:v>173.1387</c:v>
                </c:pt>
                <c:pt idx="16">
                  <c:v>171.40819999999999</c:v>
                </c:pt>
                <c:pt idx="17">
                  <c:v>169.2107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73-43FF-81CF-A8D457DAE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467752"/>
        <c:axId val="1"/>
      </c:lineChart>
      <c:catAx>
        <c:axId val="619467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584470123052797"/>
              <c:y val="0.75778692023358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7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38961038961039"/>
          <c:y val="0.7474059341198267"/>
          <c:w val="0.97922186999352345"/>
          <c:h val="0.81661008636896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Collision Paid Claim Frequency Per 100 Cars</a:t>
            </a:r>
          </a:p>
        </c:rich>
      </c:tx>
      <c:layout>
        <c:manualLayout>
          <c:xMode val="edge"/>
          <c:yMode val="edge"/>
          <c:x val="2.5974025974025976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805595586465069"/>
          <c:w val="0.82597507352763988"/>
          <c:h val="0.50694616341879417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PurePremiumTrends!$R$11:$R$28</c:f>
              <c:numCache>
                <c:formatCode>#,##0.00</c:formatCode>
                <c:ptCount val="18"/>
                <c:pt idx="0">
                  <c:v>6.0418000000000003</c:v>
                </c:pt>
                <c:pt idx="1">
                  <c:v>5.9808000000000003</c:v>
                </c:pt>
                <c:pt idx="2">
                  <c:v>5.9710999999999999</c:v>
                </c:pt>
                <c:pt idx="3">
                  <c:v>5.9600999999999997</c:v>
                </c:pt>
                <c:pt idx="4">
                  <c:v>5.9352999999999998</c:v>
                </c:pt>
                <c:pt idx="5">
                  <c:v>5.8573000000000004</c:v>
                </c:pt>
                <c:pt idx="6">
                  <c:v>5.7930999999999999</c:v>
                </c:pt>
                <c:pt idx="7">
                  <c:v>5.7382999999999997</c:v>
                </c:pt>
                <c:pt idx="8">
                  <c:v>5.7206000000000001</c:v>
                </c:pt>
                <c:pt idx="9">
                  <c:v>5.7619999999999996</c:v>
                </c:pt>
                <c:pt idx="10">
                  <c:v>5.8045</c:v>
                </c:pt>
                <c:pt idx="11">
                  <c:v>5.8228</c:v>
                </c:pt>
                <c:pt idx="12">
                  <c:v>5.8567</c:v>
                </c:pt>
                <c:pt idx="13">
                  <c:v>5.8609999999999998</c:v>
                </c:pt>
                <c:pt idx="14">
                  <c:v>5.8341000000000003</c:v>
                </c:pt>
                <c:pt idx="15">
                  <c:v>5.7828999999999997</c:v>
                </c:pt>
                <c:pt idx="16">
                  <c:v>5.7054</c:v>
                </c:pt>
                <c:pt idx="17">
                  <c:v>5.6801000000000004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44-4CCD-8960-B6425165BF5F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Sheet5!$AI$1:$AI$18</c:f>
              <c:numCache>
                <c:formatCode>General</c:formatCode>
                <c:ptCount val="18"/>
                <c:pt idx="0">
                  <c:v>6.0418000000000003</c:v>
                </c:pt>
                <c:pt idx="1">
                  <c:v>5.9808000000000003</c:v>
                </c:pt>
                <c:pt idx="2">
                  <c:v>5.9710999999999999</c:v>
                </c:pt>
                <c:pt idx="3">
                  <c:v>5.9600999999999997</c:v>
                </c:pt>
                <c:pt idx="4">
                  <c:v>5.9352999999999998</c:v>
                </c:pt>
                <c:pt idx="5">
                  <c:v>5.8573000000000004</c:v>
                </c:pt>
                <c:pt idx="6">
                  <c:v>5.7930999999999999</c:v>
                </c:pt>
                <c:pt idx="7">
                  <c:v>5.7382999999999997</c:v>
                </c:pt>
                <c:pt idx="8">
                  <c:v>5.7206000000000001</c:v>
                </c:pt>
                <c:pt idx="9">
                  <c:v>5.7619999999999996</c:v>
                </c:pt>
                <c:pt idx="10">
                  <c:v>5.8045</c:v>
                </c:pt>
                <c:pt idx="11">
                  <c:v>5.8228</c:v>
                </c:pt>
                <c:pt idx="12">
                  <c:v>5.8567</c:v>
                </c:pt>
                <c:pt idx="13">
                  <c:v>5.8609999999999998</c:v>
                </c:pt>
                <c:pt idx="14">
                  <c:v>5.8341000000000003</c:v>
                </c:pt>
                <c:pt idx="15">
                  <c:v>5.7828999999999997</c:v>
                </c:pt>
                <c:pt idx="16">
                  <c:v>5.7054</c:v>
                </c:pt>
                <c:pt idx="17">
                  <c:v>5.6801000000000004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44-4CCD-8960-B6425165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465592"/>
        <c:axId val="1"/>
      </c:lineChart>
      <c:catAx>
        <c:axId val="619465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103950642533317"/>
              <c:y val="0.756946996208807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5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12987012987013"/>
          <c:y val="0.76736366287547397"/>
          <c:w val="0.98181927259092605"/>
          <c:h val="0.82986402741324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Collision Average Claim Cost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111148787261242"/>
          <c:w val="0.82597507352763988"/>
          <c:h val="0.51736286540685161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PurePremiumTrends!$S$11:$S$28</c:f>
              <c:numCache>
                <c:formatCode>#,##0</c:formatCode>
                <c:ptCount val="18"/>
                <c:pt idx="0">
                  <c:v>2791.7064</c:v>
                </c:pt>
                <c:pt idx="1">
                  <c:v>2826.2842000000001</c:v>
                </c:pt>
                <c:pt idx="2">
                  <c:v>2858.7055</c:v>
                </c:pt>
                <c:pt idx="3">
                  <c:v>2870.7440999999999</c:v>
                </c:pt>
                <c:pt idx="4">
                  <c:v>2898.78</c:v>
                </c:pt>
                <c:pt idx="5">
                  <c:v>2922.7891</c:v>
                </c:pt>
                <c:pt idx="6">
                  <c:v>2950.34</c:v>
                </c:pt>
                <c:pt idx="7">
                  <c:v>2974.2435</c:v>
                </c:pt>
                <c:pt idx="8">
                  <c:v>2988.1224000000002</c:v>
                </c:pt>
                <c:pt idx="9">
                  <c:v>2991.5041999999999</c:v>
                </c:pt>
                <c:pt idx="10">
                  <c:v>2987.1905000000002</c:v>
                </c:pt>
                <c:pt idx="11">
                  <c:v>2989.7838999999999</c:v>
                </c:pt>
                <c:pt idx="12">
                  <c:v>2989.7640000000001</c:v>
                </c:pt>
                <c:pt idx="13">
                  <c:v>3014.4411</c:v>
                </c:pt>
                <c:pt idx="14">
                  <c:v>3007.9623999999999</c:v>
                </c:pt>
                <c:pt idx="15">
                  <c:v>2993.9976000000001</c:v>
                </c:pt>
                <c:pt idx="16">
                  <c:v>3004.3180000000002</c:v>
                </c:pt>
                <c:pt idx="17">
                  <c:v>2979.0308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6F-4137-A38E-4540F3125E2F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Sheet5!$AJ$1:$AJ$18</c:f>
              <c:numCache>
                <c:formatCode>General</c:formatCode>
                <c:ptCount val="18"/>
                <c:pt idx="0">
                  <c:v>2791.7064</c:v>
                </c:pt>
                <c:pt idx="1">
                  <c:v>2826.2842000000001</c:v>
                </c:pt>
                <c:pt idx="2">
                  <c:v>2858.7055</c:v>
                </c:pt>
                <c:pt idx="3">
                  <c:v>2870.7440999999999</c:v>
                </c:pt>
                <c:pt idx="4">
                  <c:v>2898.78</c:v>
                </c:pt>
                <c:pt idx="5">
                  <c:v>2922.7891</c:v>
                </c:pt>
                <c:pt idx="6">
                  <c:v>2950.34</c:v>
                </c:pt>
                <c:pt idx="7">
                  <c:v>2974.2435</c:v>
                </c:pt>
                <c:pt idx="8">
                  <c:v>2988.1224000000002</c:v>
                </c:pt>
                <c:pt idx="9">
                  <c:v>2991.5041999999999</c:v>
                </c:pt>
                <c:pt idx="10">
                  <c:v>2987.1905000000002</c:v>
                </c:pt>
                <c:pt idx="11">
                  <c:v>2989.7838999999999</c:v>
                </c:pt>
                <c:pt idx="12">
                  <c:v>2989.7640000000001</c:v>
                </c:pt>
                <c:pt idx="13">
                  <c:v>3014.4411</c:v>
                </c:pt>
                <c:pt idx="14">
                  <c:v>3007.9623999999999</c:v>
                </c:pt>
                <c:pt idx="15">
                  <c:v>2993.9976000000001</c:v>
                </c:pt>
                <c:pt idx="16">
                  <c:v>3004.3180000000002</c:v>
                </c:pt>
                <c:pt idx="17">
                  <c:v>2979.0308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6F-4137-A38E-4540F312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462352"/>
        <c:axId val="1"/>
      </c:lineChart>
      <c:catAx>
        <c:axId val="61946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922132460715136"/>
              <c:y val="0.756946996208807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2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961038961039"/>
          <c:y val="0.82639180519101785"/>
          <c:w val="0.96363745440910786"/>
          <c:h val="0.88889216972878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PIP Pure Premium ($)</a:t>
            </a:r>
          </a:p>
        </c:rich>
      </c:tx>
      <c:layout>
        <c:manualLayout>
          <c:xMode val="edge"/>
          <c:yMode val="edge"/>
          <c:x val="1.2987012987012988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072683067763077"/>
          <c:w val="0.82597507352763988"/>
          <c:h val="0.51557180534271829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PurePremiumTrends!$U$11:$U$28</c:f>
              <c:numCache>
                <c:formatCode>#,##0.00</c:formatCode>
                <c:ptCount val="18"/>
                <c:pt idx="0">
                  <c:v>114.2961</c:v>
                </c:pt>
                <c:pt idx="1">
                  <c:v>114.2795</c:v>
                </c:pt>
                <c:pt idx="2">
                  <c:v>114.9953</c:v>
                </c:pt>
                <c:pt idx="3">
                  <c:v>113.9851</c:v>
                </c:pt>
                <c:pt idx="4">
                  <c:v>113.9335</c:v>
                </c:pt>
                <c:pt idx="5">
                  <c:v>112.8856</c:v>
                </c:pt>
                <c:pt idx="6">
                  <c:v>111.3563</c:v>
                </c:pt>
                <c:pt idx="7">
                  <c:v>110.0459</c:v>
                </c:pt>
                <c:pt idx="8">
                  <c:v>110.38209999999999</c:v>
                </c:pt>
                <c:pt idx="9">
                  <c:v>110.13630000000001</c:v>
                </c:pt>
                <c:pt idx="10">
                  <c:v>110.1534</c:v>
                </c:pt>
                <c:pt idx="11">
                  <c:v>110.9465</c:v>
                </c:pt>
                <c:pt idx="12">
                  <c:v>113.50149999999999</c:v>
                </c:pt>
                <c:pt idx="13">
                  <c:v>112.5445</c:v>
                </c:pt>
                <c:pt idx="14">
                  <c:v>113.047</c:v>
                </c:pt>
                <c:pt idx="15">
                  <c:v>113.2924</c:v>
                </c:pt>
                <c:pt idx="16">
                  <c:v>112.49890000000001</c:v>
                </c:pt>
                <c:pt idx="17">
                  <c:v>116.2016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E0-4853-B9C8-A49B61C1B696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Sheet5!$AL$1:$AL$18</c:f>
              <c:numCache>
                <c:formatCode>General</c:formatCode>
                <c:ptCount val="18"/>
                <c:pt idx="0">
                  <c:v>114.2961</c:v>
                </c:pt>
                <c:pt idx="1">
                  <c:v>114.2795</c:v>
                </c:pt>
                <c:pt idx="2">
                  <c:v>114.9953</c:v>
                </c:pt>
                <c:pt idx="3">
                  <c:v>113.9851</c:v>
                </c:pt>
                <c:pt idx="4">
                  <c:v>113.9335</c:v>
                </c:pt>
                <c:pt idx="5">
                  <c:v>112.8856</c:v>
                </c:pt>
                <c:pt idx="6">
                  <c:v>111.3563</c:v>
                </c:pt>
                <c:pt idx="7">
                  <c:v>110.0459</c:v>
                </c:pt>
                <c:pt idx="8">
                  <c:v>110.38209999999999</c:v>
                </c:pt>
                <c:pt idx="9">
                  <c:v>110.13630000000001</c:v>
                </c:pt>
                <c:pt idx="10">
                  <c:v>110.1534</c:v>
                </c:pt>
                <c:pt idx="11">
                  <c:v>110.9465</c:v>
                </c:pt>
                <c:pt idx="12">
                  <c:v>113.50149999999999</c:v>
                </c:pt>
                <c:pt idx="13">
                  <c:v>112.5445</c:v>
                </c:pt>
                <c:pt idx="14">
                  <c:v>113.047</c:v>
                </c:pt>
                <c:pt idx="15">
                  <c:v>113.2924</c:v>
                </c:pt>
                <c:pt idx="16">
                  <c:v>112.49890000000001</c:v>
                </c:pt>
                <c:pt idx="17">
                  <c:v>116.2016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E0-4853-B9C8-A49B61C1B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463432"/>
        <c:axId val="1"/>
      </c:lineChart>
      <c:catAx>
        <c:axId val="61946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363690902273577"/>
              <c:y val="0.754326712621129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350649350649351E-2"/>
          <c:y val="0.79930941158306767"/>
          <c:w val="0.98441667518832865"/>
          <c:h val="0.86851356383220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PIP Paid Claim Frequency Per 100 Cars</a:t>
            </a:r>
          </a:p>
        </c:rich>
      </c:tx>
      <c:layout>
        <c:manualLayout>
          <c:xMode val="edge"/>
          <c:yMode val="edge"/>
          <c:x val="2.3376623376623377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805595586465069"/>
          <c:w val="0.82597507352763988"/>
          <c:h val="0.5000016954267558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PurePremiumTrends!$V$11:$V$28</c:f>
              <c:numCache>
                <c:formatCode>#,##0.00</c:formatCode>
                <c:ptCount val="18"/>
                <c:pt idx="0">
                  <c:v>1.669</c:v>
                </c:pt>
                <c:pt idx="1">
                  <c:v>1.6315999999999999</c:v>
                </c:pt>
                <c:pt idx="2">
                  <c:v>1.6074999999999999</c:v>
                </c:pt>
                <c:pt idx="3">
                  <c:v>1.6003000000000001</c:v>
                </c:pt>
                <c:pt idx="4">
                  <c:v>1.5867</c:v>
                </c:pt>
                <c:pt idx="5">
                  <c:v>1.5851999999999999</c:v>
                </c:pt>
                <c:pt idx="6">
                  <c:v>1.5752999999999999</c:v>
                </c:pt>
                <c:pt idx="7">
                  <c:v>1.5297000000000001</c:v>
                </c:pt>
                <c:pt idx="8">
                  <c:v>1.5004999999999999</c:v>
                </c:pt>
                <c:pt idx="9">
                  <c:v>1.4743999999999999</c:v>
                </c:pt>
                <c:pt idx="10">
                  <c:v>1.4558</c:v>
                </c:pt>
                <c:pt idx="11">
                  <c:v>1.4426000000000001</c:v>
                </c:pt>
                <c:pt idx="12">
                  <c:v>1.4534</c:v>
                </c:pt>
                <c:pt idx="13">
                  <c:v>1.4289000000000001</c:v>
                </c:pt>
                <c:pt idx="14">
                  <c:v>1.3983000000000001</c:v>
                </c:pt>
                <c:pt idx="15">
                  <c:v>1.3779999999999999</c:v>
                </c:pt>
                <c:pt idx="16">
                  <c:v>1.3514999999999999</c:v>
                </c:pt>
                <c:pt idx="17">
                  <c:v>1.3580000000000001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7-46EE-A549-47736A59E3D7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Sheet5!$AM$1:$AM$18</c:f>
              <c:numCache>
                <c:formatCode>General</c:formatCode>
                <c:ptCount val="18"/>
                <c:pt idx="0">
                  <c:v>1.669</c:v>
                </c:pt>
                <c:pt idx="1">
                  <c:v>1.6315999999999999</c:v>
                </c:pt>
                <c:pt idx="2">
                  <c:v>1.6074999999999999</c:v>
                </c:pt>
                <c:pt idx="3">
                  <c:v>1.6003000000000001</c:v>
                </c:pt>
                <c:pt idx="4">
                  <c:v>1.5867</c:v>
                </c:pt>
                <c:pt idx="5">
                  <c:v>1.5851999999999999</c:v>
                </c:pt>
                <c:pt idx="6">
                  <c:v>1.5752999999999999</c:v>
                </c:pt>
                <c:pt idx="7">
                  <c:v>1.5297000000000001</c:v>
                </c:pt>
                <c:pt idx="8">
                  <c:v>1.5004999999999999</c:v>
                </c:pt>
                <c:pt idx="9">
                  <c:v>1.4743999999999999</c:v>
                </c:pt>
                <c:pt idx="10">
                  <c:v>1.4558</c:v>
                </c:pt>
                <c:pt idx="11">
                  <c:v>1.4426000000000001</c:v>
                </c:pt>
                <c:pt idx="12">
                  <c:v>1.4534</c:v>
                </c:pt>
                <c:pt idx="13">
                  <c:v>1.4289000000000001</c:v>
                </c:pt>
                <c:pt idx="14">
                  <c:v>1.3983000000000001</c:v>
                </c:pt>
                <c:pt idx="15">
                  <c:v>1.3779999999999999</c:v>
                </c:pt>
                <c:pt idx="16">
                  <c:v>1.3514999999999999</c:v>
                </c:pt>
                <c:pt idx="17">
                  <c:v>1.3580000000000001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7-46EE-A549-47736A59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72240"/>
        <c:axId val="1"/>
      </c:lineChart>
      <c:catAx>
        <c:axId val="115557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363690902273577"/>
              <c:y val="0.75000255176436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72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987012987013"/>
          <c:y val="0.80208588509769618"/>
          <c:w val="0.98181927259092605"/>
          <c:h val="0.86458624963546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PIP Average Claim Cost ($)</a:t>
            </a:r>
          </a:p>
        </c:rich>
      </c:tx>
      <c:layout>
        <c:manualLayout>
          <c:xMode val="edge"/>
          <c:yMode val="edge"/>
          <c:x val="1.2987012987012988E-2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149825783972125"/>
          <c:w val="0.82597507352763988"/>
          <c:h val="0.5191637630662020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PurePremiumTrends!$W$11:$W$28</c:f>
              <c:numCache>
                <c:formatCode>#,##0</c:formatCode>
                <c:ptCount val="18"/>
                <c:pt idx="0">
                  <c:v>6847.9758000000002</c:v>
                </c:pt>
                <c:pt idx="1">
                  <c:v>7004.0797000000002</c:v>
                </c:pt>
                <c:pt idx="2">
                  <c:v>7153.6638999999996</c:v>
                </c:pt>
                <c:pt idx="3">
                  <c:v>7122.6967000000004</c:v>
                </c:pt>
                <c:pt idx="4">
                  <c:v>7180.6111000000001</c:v>
                </c:pt>
                <c:pt idx="5">
                  <c:v>7121.0406000000003</c:v>
                </c:pt>
                <c:pt idx="6">
                  <c:v>7068.7565999999997</c:v>
                </c:pt>
                <c:pt idx="7">
                  <c:v>7194.0947999999999</c:v>
                </c:pt>
                <c:pt idx="8">
                  <c:v>7356.4201999999996</c:v>
                </c:pt>
                <c:pt idx="9">
                  <c:v>7469.6867000000002</c:v>
                </c:pt>
                <c:pt idx="10">
                  <c:v>7566.6692999999996</c:v>
                </c:pt>
                <c:pt idx="11">
                  <c:v>7690.8944000000001</c:v>
                </c:pt>
                <c:pt idx="12">
                  <c:v>7809.4979999999996</c:v>
                </c:pt>
                <c:pt idx="13">
                  <c:v>7876.5419000000002</c:v>
                </c:pt>
                <c:pt idx="14">
                  <c:v>8084.3540999999996</c:v>
                </c:pt>
                <c:pt idx="15">
                  <c:v>8221.4617999999991</c:v>
                </c:pt>
                <c:pt idx="16">
                  <c:v>8323.8119999999999</c:v>
                </c:pt>
                <c:pt idx="17">
                  <c:v>8556.9919000000009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8F-4016-B372-E945F7FCEFBD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Sheet5!$AN$1:$AN$18</c:f>
              <c:numCache>
                <c:formatCode>General</c:formatCode>
                <c:ptCount val="18"/>
                <c:pt idx="0">
                  <c:v>6847.9758000000002</c:v>
                </c:pt>
                <c:pt idx="1">
                  <c:v>7004.0797000000002</c:v>
                </c:pt>
                <c:pt idx="2">
                  <c:v>7153.6638999999996</c:v>
                </c:pt>
                <c:pt idx="3">
                  <c:v>7122.6967000000004</c:v>
                </c:pt>
                <c:pt idx="4">
                  <c:v>7180.6111000000001</c:v>
                </c:pt>
                <c:pt idx="5">
                  <c:v>7121.0406000000003</c:v>
                </c:pt>
                <c:pt idx="6">
                  <c:v>7068.7565999999997</c:v>
                </c:pt>
                <c:pt idx="7">
                  <c:v>7194.0947999999999</c:v>
                </c:pt>
                <c:pt idx="8">
                  <c:v>7356.4201999999996</c:v>
                </c:pt>
                <c:pt idx="9">
                  <c:v>7469.6867000000002</c:v>
                </c:pt>
                <c:pt idx="10">
                  <c:v>7566.6692999999996</c:v>
                </c:pt>
                <c:pt idx="11">
                  <c:v>7690.8944000000001</c:v>
                </c:pt>
                <c:pt idx="12">
                  <c:v>7809.4979999999996</c:v>
                </c:pt>
                <c:pt idx="13">
                  <c:v>7876.5419000000002</c:v>
                </c:pt>
                <c:pt idx="14">
                  <c:v>8084.3540999999996</c:v>
                </c:pt>
                <c:pt idx="15">
                  <c:v>8221.4617999999991</c:v>
                </c:pt>
                <c:pt idx="16">
                  <c:v>8323.8119999999999</c:v>
                </c:pt>
                <c:pt idx="17">
                  <c:v>8556.9919000000009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F-4016-B372-E945F7FC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67560"/>
        <c:axId val="1"/>
      </c:lineChart>
      <c:catAx>
        <c:axId val="115556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142911681494356"/>
              <c:y val="0.76655052264808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67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6103896103896108E-2"/>
          <c:y val="0.82229965156794427"/>
          <c:w val="0.97662446739612085"/>
          <c:h val="0.88153310104529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PIP Arising Claim Frequency Per 100 Cars</a:t>
            </a:r>
          </a:p>
        </c:rich>
      </c:tx>
      <c:layout>
        <c:manualLayout>
          <c:xMode val="edge"/>
          <c:yMode val="edge"/>
          <c:x val="2.5974025974025976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764725759498269"/>
          <c:w val="0.82597507352763988"/>
          <c:h val="0.51557180534271829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PurePremiumTrends!$X$11:$X$28</c:f>
              <c:numCache>
                <c:formatCode>#,##0.00</c:formatCode>
                <c:ptCount val="18"/>
                <c:pt idx="0">
                  <c:v>2.323</c:v>
                </c:pt>
                <c:pt idx="1">
                  <c:v>2.3144999999999998</c:v>
                </c:pt>
                <c:pt idx="2">
                  <c:v>2.3045</c:v>
                </c:pt>
                <c:pt idx="3">
                  <c:v>2.2740999999999998</c:v>
                </c:pt>
                <c:pt idx="4">
                  <c:v>2.2241</c:v>
                </c:pt>
                <c:pt idx="5">
                  <c:v>2.1838000000000002</c:v>
                </c:pt>
                <c:pt idx="6">
                  <c:v>2.1419999999999999</c:v>
                </c:pt>
                <c:pt idx="7">
                  <c:v>2.1114999999999999</c:v>
                </c:pt>
                <c:pt idx="8">
                  <c:v>2.0954999999999999</c:v>
                </c:pt>
                <c:pt idx="9">
                  <c:v>2.0966</c:v>
                </c:pt>
                <c:pt idx="10">
                  <c:v>2.0893999999999999</c:v>
                </c:pt>
                <c:pt idx="11">
                  <c:v>2.0872999999999999</c:v>
                </c:pt>
                <c:pt idx="12">
                  <c:v>2.1072000000000002</c:v>
                </c:pt>
                <c:pt idx="13">
                  <c:v>2.0865</c:v>
                </c:pt>
                <c:pt idx="14">
                  <c:v>2.0636000000000001</c:v>
                </c:pt>
                <c:pt idx="15">
                  <c:v>2.0358000000000001</c:v>
                </c:pt>
                <c:pt idx="16">
                  <c:v>2.0097999999999998</c:v>
                </c:pt>
                <c:pt idx="17">
                  <c:v>2.0156999999999998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BA-42C9-A6B5-F4707F053EFB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Sheet5!$AO$1:$AO$18</c:f>
              <c:numCache>
                <c:formatCode>General</c:formatCode>
                <c:ptCount val="18"/>
                <c:pt idx="0">
                  <c:v>2.323</c:v>
                </c:pt>
                <c:pt idx="1">
                  <c:v>2.3144999999999998</c:v>
                </c:pt>
                <c:pt idx="2">
                  <c:v>2.3045</c:v>
                </c:pt>
                <c:pt idx="3">
                  <c:v>2.2740999999999998</c:v>
                </c:pt>
                <c:pt idx="4">
                  <c:v>2.2241</c:v>
                </c:pt>
                <c:pt idx="5">
                  <c:v>2.1838000000000002</c:v>
                </c:pt>
                <c:pt idx="6">
                  <c:v>2.1419999999999999</c:v>
                </c:pt>
                <c:pt idx="7">
                  <c:v>2.1114999999999999</c:v>
                </c:pt>
                <c:pt idx="8">
                  <c:v>2.0954999999999999</c:v>
                </c:pt>
                <c:pt idx="9">
                  <c:v>2.0966</c:v>
                </c:pt>
                <c:pt idx="10">
                  <c:v>2.0893999999999999</c:v>
                </c:pt>
                <c:pt idx="11">
                  <c:v>2.0872999999999999</c:v>
                </c:pt>
                <c:pt idx="12">
                  <c:v>2.1072000000000002</c:v>
                </c:pt>
                <c:pt idx="13">
                  <c:v>2.0865</c:v>
                </c:pt>
                <c:pt idx="14">
                  <c:v>2.0636000000000001</c:v>
                </c:pt>
                <c:pt idx="15">
                  <c:v>2.0358000000000001</c:v>
                </c:pt>
                <c:pt idx="16">
                  <c:v>2.0097999999999998</c:v>
                </c:pt>
                <c:pt idx="17">
                  <c:v>2.0156999999999998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BA-42C9-A6B5-F4707F05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73680"/>
        <c:axId val="1"/>
      </c:lineChart>
      <c:catAx>
        <c:axId val="115557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883171421754096"/>
              <c:y val="0.76816754307095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73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987012987013"/>
          <c:y val="0.83045128009517832"/>
          <c:w val="0.96623485700651046"/>
          <c:h val="0.889274809506943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PPI Pure Premium ($)</a:t>
            </a:r>
          </a:p>
        </c:rich>
      </c:tx>
      <c:layout>
        <c:manualLayout>
          <c:xMode val="edge"/>
          <c:yMode val="edge"/>
          <c:x val="1.2987012987012988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072683067763077"/>
          <c:w val="0.82597507352763988"/>
          <c:h val="0.51557180534271829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PurePremiumTrends!$Z$11:$Z$28</c:f>
              <c:numCache>
                <c:formatCode>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F5-43F1-8B68-F80BAA958EFA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Sheet5!$AQ$1:$AQ$18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F5-43F1-8B68-F80BAA958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70080"/>
        <c:axId val="1"/>
      </c:lineChart>
      <c:catAx>
        <c:axId val="115557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363690902273577"/>
              <c:y val="0.754326712621129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700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350649350649351E-2"/>
          <c:y val="0.79930941158306767"/>
          <c:w val="0.98441667518832865"/>
          <c:h val="0.86851356383220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PPI Paid Claim Frequency Per 100 Cars</a:t>
            </a:r>
          </a:p>
        </c:rich>
      </c:tx>
      <c:layout>
        <c:manualLayout>
          <c:xMode val="edge"/>
          <c:yMode val="edge"/>
          <c:x val="2.3376623376623377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805595586465069"/>
          <c:w val="0.82597507352763988"/>
          <c:h val="0.5000016954267558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PurePremiumTrends!$AA$11:$AA$28</c:f>
              <c:numCache>
                <c:formatCode>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3F-4898-9239-B97528F93573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Sheet5!$AR$1:$AR$18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3F-4898-9239-B97528F9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66840"/>
        <c:axId val="1"/>
      </c:lineChart>
      <c:catAx>
        <c:axId val="1155566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363690902273577"/>
              <c:y val="0.75000255176436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66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2987012987013"/>
          <c:y val="0.80208588509769618"/>
          <c:w val="0.98181927259092605"/>
          <c:h val="0.86458624963546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Bodily Injury Paid Claim Frequency Per 100 Cars</a:t>
            </a:r>
          </a:p>
        </c:rich>
      </c:tx>
      <c:layout>
        <c:manualLayout>
          <c:xMode val="edge"/>
          <c:yMode val="edge"/>
          <c:x val="2.5974025974025976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5991814620301"/>
          <c:y val="0.11458372186863156"/>
          <c:w val="0.82857247941923629"/>
          <c:h val="0.51736286540685161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PurePremiumTrends!$E$11:$E$28</c:f>
              <c:numCache>
                <c:formatCode>#,##0.00</c:formatCode>
                <c:ptCount val="18"/>
                <c:pt idx="0">
                  <c:v>1.1105</c:v>
                </c:pt>
                <c:pt idx="1">
                  <c:v>1.0954999999999999</c:v>
                </c:pt>
                <c:pt idx="2">
                  <c:v>1.0840000000000001</c:v>
                </c:pt>
                <c:pt idx="3">
                  <c:v>1.0709</c:v>
                </c:pt>
                <c:pt idx="4">
                  <c:v>1.0503</c:v>
                </c:pt>
                <c:pt idx="5">
                  <c:v>1.0388999999999999</c:v>
                </c:pt>
                <c:pt idx="6">
                  <c:v>1.0266999999999999</c:v>
                </c:pt>
                <c:pt idx="7">
                  <c:v>1.0155000000000001</c:v>
                </c:pt>
                <c:pt idx="8">
                  <c:v>1.0124</c:v>
                </c:pt>
                <c:pt idx="9">
                  <c:v>1.0007999999999999</c:v>
                </c:pt>
                <c:pt idx="10">
                  <c:v>0.98929999999999996</c:v>
                </c:pt>
                <c:pt idx="11">
                  <c:v>0.97760000000000002</c:v>
                </c:pt>
                <c:pt idx="12">
                  <c:v>0.96479999999999999</c:v>
                </c:pt>
                <c:pt idx="13">
                  <c:v>0.95269999999999999</c:v>
                </c:pt>
                <c:pt idx="14">
                  <c:v>0.94569999999999999</c:v>
                </c:pt>
                <c:pt idx="15">
                  <c:v>0.93710000000000004</c:v>
                </c:pt>
                <c:pt idx="16">
                  <c:v>0.9264</c:v>
                </c:pt>
                <c:pt idx="17">
                  <c:v>0.91810000000000003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67-4DDC-8207-6DFB1E4089E2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Sheet5!$V$1:$V$18</c:f>
              <c:numCache>
                <c:formatCode>General</c:formatCode>
                <c:ptCount val="18"/>
                <c:pt idx="0">
                  <c:v>1.1105</c:v>
                </c:pt>
                <c:pt idx="1">
                  <c:v>1.0954999999999999</c:v>
                </c:pt>
                <c:pt idx="2">
                  <c:v>1.0840000000000001</c:v>
                </c:pt>
                <c:pt idx="3">
                  <c:v>1.0709</c:v>
                </c:pt>
                <c:pt idx="4">
                  <c:v>1.0503</c:v>
                </c:pt>
                <c:pt idx="5">
                  <c:v>1.0388999999999999</c:v>
                </c:pt>
                <c:pt idx="6">
                  <c:v>1.0266999999999999</c:v>
                </c:pt>
                <c:pt idx="7">
                  <c:v>1.0155000000000001</c:v>
                </c:pt>
                <c:pt idx="8">
                  <c:v>1.0124</c:v>
                </c:pt>
                <c:pt idx="9">
                  <c:v>1.0007999999999999</c:v>
                </c:pt>
                <c:pt idx="10">
                  <c:v>0.98929999999999996</c:v>
                </c:pt>
                <c:pt idx="11">
                  <c:v>0.97760000000000002</c:v>
                </c:pt>
                <c:pt idx="12">
                  <c:v>0.96479999999999999</c:v>
                </c:pt>
                <c:pt idx="13">
                  <c:v>0.95269999999999999</c:v>
                </c:pt>
                <c:pt idx="14">
                  <c:v>0.94569999999999999</c:v>
                </c:pt>
                <c:pt idx="15">
                  <c:v>0.93710000000000004</c:v>
                </c:pt>
                <c:pt idx="16">
                  <c:v>0.9264</c:v>
                </c:pt>
                <c:pt idx="17">
                  <c:v>0.91810000000000003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67-4DDC-8207-6DFB1E40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333504"/>
        <c:axId val="1"/>
      </c:lineChart>
      <c:catAx>
        <c:axId val="114733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844210382793057"/>
              <c:y val="0.76041921843102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47333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8701298701298706E-2"/>
          <c:y val="0.80555810731991839"/>
          <c:w val="0.96883225960391306"/>
          <c:h val="0.868058471857684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PPI Average Claim Cost ($)</a:t>
            </a:r>
          </a:p>
        </c:rich>
      </c:tx>
      <c:layout>
        <c:manualLayout>
          <c:xMode val="edge"/>
          <c:yMode val="edge"/>
          <c:x val="1.2987012987012988E-2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149825783972125"/>
          <c:w val="0.82597507352763988"/>
          <c:h val="0.5191637630662020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PurePremiumTrends!$AB$11:$AB$28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2B6-4F58-BDC0-A8F8B6497E17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Sheet5!$AS$1:$AS$18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2B6-4F58-BDC0-A8F8B6497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71160"/>
        <c:axId val="1"/>
      </c:lineChart>
      <c:catAx>
        <c:axId val="1155571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142911681494356"/>
              <c:y val="0.76655052264808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5571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6103896103896108E-2"/>
          <c:y val="0.82229965156794427"/>
          <c:w val="0.97662446739612085"/>
          <c:h val="0.88153310104529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Bodily Injury Average Claim Cost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3916527897383"/>
          <c:y val="0.11111148787261242"/>
          <c:w val="0.81039063817806178"/>
          <c:h val="0.53125180139092809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PurePremiumTrends!$F$11:$F$28</c:f>
              <c:numCache>
                <c:formatCode>#,##0</c:formatCode>
                <c:ptCount val="18"/>
                <c:pt idx="0">
                  <c:v>9775.8690000000006</c:v>
                </c:pt>
                <c:pt idx="1">
                  <c:v>9868.2127999999993</c:v>
                </c:pt>
                <c:pt idx="2">
                  <c:v>9935.4534000000003</c:v>
                </c:pt>
                <c:pt idx="3">
                  <c:v>9992.4547000000002</c:v>
                </c:pt>
                <c:pt idx="4">
                  <c:v>10051.9334</c:v>
                </c:pt>
                <c:pt idx="5">
                  <c:v>10177.069799999999</c:v>
                </c:pt>
                <c:pt idx="6">
                  <c:v>10265.0708</c:v>
                </c:pt>
                <c:pt idx="7">
                  <c:v>10377.5594</c:v>
                </c:pt>
                <c:pt idx="8">
                  <c:v>10533.6037</c:v>
                </c:pt>
                <c:pt idx="9">
                  <c:v>10669.364100000001</c:v>
                </c:pt>
                <c:pt idx="10">
                  <c:v>10822.660099999999</c:v>
                </c:pt>
                <c:pt idx="11">
                  <c:v>10991.5401</c:v>
                </c:pt>
                <c:pt idx="12">
                  <c:v>11168.0149</c:v>
                </c:pt>
                <c:pt idx="13">
                  <c:v>11334.643899999999</c:v>
                </c:pt>
                <c:pt idx="14">
                  <c:v>11479.295099999999</c:v>
                </c:pt>
                <c:pt idx="15">
                  <c:v>11647.1523</c:v>
                </c:pt>
                <c:pt idx="16">
                  <c:v>11845.919599999999</c:v>
                </c:pt>
                <c:pt idx="17">
                  <c:v>11923.956700000001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BC-473F-9E31-9FD032C5A679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Sheet5!$W$1:$W$18</c:f>
              <c:numCache>
                <c:formatCode>General</c:formatCode>
                <c:ptCount val="18"/>
                <c:pt idx="0">
                  <c:v>9775.8690000000006</c:v>
                </c:pt>
                <c:pt idx="1">
                  <c:v>9868.2127999999993</c:v>
                </c:pt>
                <c:pt idx="2">
                  <c:v>9935.4534000000003</c:v>
                </c:pt>
                <c:pt idx="3">
                  <c:v>9992.4547000000002</c:v>
                </c:pt>
                <c:pt idx="4">
                  <c:v>10051.9334</c:v>
                </c:pt>
                <c:pt idx="5">
                  <c:v>10177.069799999999</c:v>
                </c:pt>
                <c:pt idx="6">
                  <c:v>10265.0708</c:v>
                </c:pt>
                <c:pt idx="7">
                  <c:v>10377.5594</c:v>
                </c:pt>
                <c:pt idx="8">
                  <c:v>10533.6037</c:v>
                </c:pt>
                <c:pt idx="9">
                  <c:v>10669.364100000001</c:v>
                </c:pt>
                <c:pt idx="10">
                  <c:v>10822.660099999999</c:v>
                </c:pt>
                <c:pt idx="11">
                  <c:v>10991.5401</c:v>
                </c:pt>
                <c:pt idx="12">
                  <c:v>11168.0149</c:v>
                </c:pt>
                <c:pt idx="13">
                  <c:v>11334.643899999999</c:v>
                </c:pt>
                <c:pt idx="14">
                  <c:v>11479.295099999999</c:v>
                </c:pt>
                <c:pt idx="15">
                  <c:v>11647.1523</c:v>
                </c:pt>
                <c:pt idx="16">
                  <c:v>11845.919599999999</c:v>
                </c:pt>
                <c:pt idx="17">
                  <c:v>11923.956700000001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BC-473F-9E31-9FD032C5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334584"/>
        <c:axId val="1"/>
      </c:lineChart>
      <c:catAx>
        <c:axId val="1147334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142911681494356"/>
              <c:y val="0.774308107319918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47334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168858438149776"/>
          <c:y val="0.82986402741324006"/>
          <c:w val="0.96104032450489141"/>
          <c:h val="0.89236439195100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Bodily Injury Arising Claim Frequency Per 100 Cars</a:t>
            </a:r>
          </a:p>
        </c:rich>
      </c:tx>
      <c:layout>
        <c:manualLayout>
          <c:xMode val="edge"/>
          <c:yMode val="edge"/>
          <c:x val="2.3376623376623377E-2"/>
          <c:y val="1.845018450184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808139356800905"/>
          <c:w val="0.82597507352763988"/>
          <c:h val="0.4907757920170376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PurePremiumTrends!$G$11:$G$28</c:f>
              <c:numCache>
                <c:formatCode>#,##0.00</c:formatCode>
                <c:ptCount val="18"/>
                <c:pt idx="0">
                  <c:v>1.6181000000000001</c:v>
                </c:pt>
                <c:pt idx="1">
                  <c:v>1.6032999999999999</c:v>
                </c:pt>
                <c:pt idx="2">
                  <c:v>1.5901000000000001</c:v>
                </c:pt>
                <c:pt idx="3">
                  <c:v>1.5644</c:v>
                </c:pt>
                <c:pt idx="4">
                  <c:v>1.5364</c:v>
                </c:pt>
                <c:pt idx="5">
                  <c:v>1.5194000000000001</c:v>
                </c:pt>
                <c:pt idx="6">
                  <c:v>1.4911000000000001</c:v>
                </c:pt>
                <c:pt idx="7">
                  <c:v>1.4670000000000001</c:v>
                </c:pt>
                <c:pt idx="8">
                  <c:v>1.4584999999999999</c:v>
                </c:pt>
                <c:pt idx="9">
                  <c:v>1.4400999999999999</c:v>
                </c:pt>
                <c:pt idx="10">
                  <c:v>1.4198</c:v>
                </c:pt>
                <c:pt idx="11">
                  <c:v>1.4053</c:v>
                </c:pt>
                <c:pt idx="12">
                  <c:v>1.3851</c:v>
                </c:pt>
                <c:pt idx="13">
                  <c:v>1.3627</c:v>
                </c:pt>
                <c:pt idx="14">
                  <c:v>1.3358000000000001</c:v>
                </c:pt>
                <c:pt idx="15">
                  <c:v>1.3012999999999999</c:v>
                </c:pt>
                <c:pt idx="16">
                  <c:v>1.2733000000000001</c:v>
                </c:pt>
                <c:pt idx="17">
                  <c:v>1.2583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46-464A-B234-E21503EAEC1D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Sheet5!$X$1:$X$18</c:f>
              <c:numCache>
                <c:formatCode>General</c:formatCode>
                <c:ptCount val="18"/>
                <c:pt idx="0">
                  <c:v>1.6181000000000001</c:v>
                </c:pt>
                <c:pt idx="1">
                  <c:v>1.6032999999999999</c:v>
                </c:pt>
                <c:pt idx="2">
                  <c:v>1.5901000000000001</c:v>
                </c:pt>
                <c:pt idx="3">
                  <c:v>1.5644</c:v>
                </c:pt>
                <c:pt idx="4">
                  <c:v>1.5364</c:v>
                </c:pt>
                <c:pt idx="5">
                  <c:v>1.5194000000000001</c:v>
                </c:pt>
                <c:pt idx="6">
                  <c:v>1.4911000000000001</c:v>
                </c:pt>
                <c:pt idx="7">
                  <c:v>1.4670000000000001</c:v>
                </c:pt>
                <c:pt idx="8">
                  <c:v>1.4584999999999999</c:v>
                </c:pt>
                <c:pt idx="9">
                  <c:v>1.4400999999999999</c:v>
                </c:pt>
                <c:pt idx="10">
                  <c:v>1.4198</c:v>
                </c:pt>
                <c:pt idx="11">
                  <c:v>1.4053</c:v>
                </c:pt>
                <c:pt idx="12">
                  <c:v>1.3851</c:v>
                </c:pt>
                <c:pt idx="13">
                  <c:v>1.3627</c:v>
                </c:pt>
                <c:pt idx="14">
                  <c:v>1.3358000000000001</c:v>
                </c:pt>
                <c:pt idx="15">
                  <c:v>1.3012999999999999</c:v>
                </c:pt>
                <c:pt idx="16">
                  <c:v>1.2733000000000001</c:v>
                </c:pt>
                <c:pt idx="17">
                  <c:v>1.2583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46-464A-B234-E21503EA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330984"/>
        <c:axId val="1"/>
      </c:lineChart>
      <c:catAx>
        <c:axId val="114733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324729863312537"/>
              <c:y val="0.75276907729707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47330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649350649350649"/>
          <c:y val="0.81918974150371415"/>
          <c:w val="0.95065044142209487"/>
          <c:h val="0.89299047951109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Property Damage Pure Premium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805595586465069"/>
          <c:w val="0.82597507352763988"/>
          <c:h val="0.51041839741481332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PurePremiumTrends!$I$11:$I$28</c:f>
              <c:numCache>
                <c:formatCode>#,##0.00</c:formatCode>
                <c:ptCount val="18"/>
                <c:pt idx="0">
                  <c:v>93.7286</c:v>
                </c:pt>
                <c:pt idx="1">
                  <c:v>93.565799999999996</c:v>
                </c:pt>
                <c:pt idx="2">
                  <c:v>94.264200000000002</c:v>
                </c:pt>
                <c:pt idx="3">
                  <c:v>94.932599999999994</c:v>
                </c:pt>
                <c:pt idx="4">
                  <c:v>94.864699999999999</c:v>
                </c:pt>
                <c:pt idx="5">
                  <c:v>95.044799999999995</c:v>
                </c:pt>
                <c:pt idx="6">
                  <c:v>94.688800000000001</c:v>
                </c:pt>
                <c:pt idx="7">
                  <c:v>94.121700000000004</c:v>
                </c:pt>
                <c:pt idx="8">
                  <c:v>94.903800000000004</c:v>
                </c:pt>
                <c:pt idx="9">
                  <c:v>95.325999999999993</c:v>
                </c:pt>
                <c:pt idx="10">
                  <c:v>96.226799999999997</c:v>
                </c:pt>
                <c:pt idx="11">
                  <c:v>97.008300000000006</c:v>
                </c:pt>
                <c:pt idx="12">
                  <c:v>97.638800000000003</c:v>
                </c:pt>
                <c:pt idx="13">
                  <c:v>98.066100000000006</c:v>
                </c:pt>
                <c:pt idx="14">
                  <c:v>97.949600000000004</c:v>
                </c:pt>
                <c:pt idx="15">
                  <c:v>97.386799999999994</c:v>
                </c:pt>
                <c:pt idx="16">
                  <c:v>96.2286</c:v>
                </c:pt>
                <c:pt idx="17">
                  <c:v>95.853700000000003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D1-45F0-BD01-8D99C1943437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Sheet5!$Z$1:$Z$18</c:f>
              <c:numCache>
                <c:formatCode>General</c:formatCode>
                <c:ptCount val="18"/>
                <c:pt idx="0">
                  <c:v>93.7286</c:v>
                </c:pt>
                <c:pt idx="1">
                  <c:v>93.565799999999996</c:v>
                </c:pt>
                <c:pt idx="2">
                  <c:v>94.264200000000002</c:v>
                </c:pt>
                <c:pt idx="3">
                  <c:v>94.932599999999994</c:v>
                </c:pt>
                <c:pt idx="4">
                  <c:v>94.864699999999999</c:v>
                </c:pt>
                <c:pt idx="5">
                  <c:v>95.044799999999995</c:v>
                </c:pt>
                <c:pt idx="6">
                  <c:v>94.688800000000001</c:v>
                </c:pt>
                <c:pt idx="7">
                  <c:v>94.121700000000004</c:v>
                </c:pt>
                <c:pt idx="8">
                  <c:v>94.903800000000004</c:v>
                </c:pt>
                <c:pt idx="9">
                  <c:v>95.325999999999993</c:v>
                </c:pt>
                <c:pt idx="10">
                  <c:v>96.226799999999997</c:v>
                </c:pt>
                <c:pt idx="11">
                  <c:v>97.008300000000006</c:v>
                </c:pt>
                <c:pt idx="12">
                  <c:v>97.638800000000003</c:v>
                </c:pt>
                <c:pt idx="13">
                  <c:v>98.066100000000006</c:v>
                </c:pt>
                <c:pt idx="14">
                  <c:v>97.949600000000004</c:v>
                </c:pt>
                <c:pt idx="15">
                  <c:v>97.386799999999994</c:v>
                </c:pt>
                <c:pt idx="16">
                  <c:v>96.2286</c:v>
                </c:pt>
                <c:pt idx="17">
                  <c:v>95.853700000000003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D1-45F0-BD01-8D99C194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337824"/>
        <c:axId val="1"/>
      </c:lineChart>
      <c:catAx>
        <c:axId val="11473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064989603572277"/>
              <c:y val="0.76041921843102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47337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350649350649351E-2"/>
          <c:y val="0.80555810731991839"/>
          <c:w val="0.98441667518832865"/>
          <c:h val="0.868058471857684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Property Damage Paid Claim Frequency Per 100 Cars</a:t>
            </a:r>
          </a:p>
        </c:rich>
      </c:tx>
      <c:layout>
        <c:manualLayout>
          <c:xMode val="edge"/>
          <c:yMode val="edge"/>
          <c:x val="2.5974025974025976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6495417125884"/>
          <c:y val="0.11072683067763077"/>
          <c:w val="0.82597507352763988"/>
          <c:h val="0.51211159188404232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PurePremiumTrends!$J$11:$J$28</c:f>
              <c:numCache>
                <c:formatCode>#,##0.00</c:formatCode>
                <c:ptCount val="18"/>
                <c:pt idx="0">
                  <c:v>3.7543000000000002</c:v>
                </c:pt>
                <c:pt idx="1">
                  <c:v>3.7271000000000001</c:v>
                </c:pt>
                <c:pt idx="2">
                  <c:v>3.7298</c:v>
                </c:pt>
                <c:pt idx="3">
                  <c:v>3.7307999999999999</c:v>
                </c:pt>
                <c:pt idx="4">
                  <c:v>3.6949999999999998</c:v>
                </c:pt>
                <c:pt idx="5">
                  <c:v>3.6612</c:v>
                </c:pt>
                <c:pt idx="6">
                  <c:v>3.6122000000000001</c:v>
                </c:pt>
                <c:pt idx="7">
                  <c:v>3.5602999999999998</c:v>
                </c:pt>
                <c:pt idx="8">
                  <c:v>3.5659999999999998</c:v>
                </c:pt>
                <c:pt idx="9">
                  <c:v>3.5567000000000002</c:v>
                </c:pt>
                <c:pt idx="10">
                  <c:v>3.5726</c:v>
                </c:pt>
                <c:pt idx="11">
                  <c:v>3.5806</c:v>
                </c:pt>
                <c:pt idx="12">
                  <c:v>3.5918000000000001</c:v>
                </c:pt>
                <c:pt idx="13">
                  <c:v>3.5865</c:v>
                </c:pt>
                <c:pt idx="14">
                  <c:v>3.5642</c:v>
                </c:pt>
                <c:pt idx="15">
                  <c:v>3.5312999999999999</c:v>
                </c:pt>
                <c:pt idx="16">
                  <c:v>3.4691999999999998</c:v>
                </c:pt>
                <c:pt idx="17">
                  <c:v>3.4546000000000001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25-4605-B58D-5732BA98414C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Sheet5!$AA$1:$AA$18</c:f>
              <c:numCache>
                <c:formatCode>General</c:formatCode>
                <c:ptCount val="18"/>
                <c:pt idx="0">
                  <c:v>3.7543000000000002</c:v>
                </c:pt>
                <c:pt idx="1">
                  <c:v>3.7271000000000001</c:v>
                </c:pt>
                <c:pt idx="2">
                  <c:v>3.7298</c:v>
                </c:pt>
                <c:pt idx="3">
                  <c:v>3.7307999999999999</c:v>
                </c:pt>
                <c:pt idx="4">
                  <c:v>3.6949999999999998</c:v>
                </c:pt>
                <c:pt idx="5">
                  <c:v>3.6612</c:v>
                </c:pt>
                <c:pt idx="6">
                  <c:v>3.6122000000000001</c:v>
                </c:pt>
                <c:pt idx="7">
                  <c:v>3.5602999999999998</c:v>
                </c:pt>
                <c:pt idx="8">
                  <c:v>3.5659999999999998</c:v>
                </c:pt>
                <c:pt idx="9">
                  <c:v>3.5567000000000002</c:v>
                </c:pt>
                <c:pt idx="10">
                  <c:v>3.5726</c:v>
                </c:pt>
                <c:pt idx="11">
                  <c:v>3.5806</c:v>
                </c:pt>
                <c:pt idx="12">
                  <c:v>3.5918000000000001</c:v>
                </c:pt>
                <c:pt idx="13">
                  <c:v>3.5865</c:v>
                </c:pt>
                <c:pt idx="14">
                  <c:v>3.5642</c:v>
                </c:pt>
                <c:pt idx="15">
                  <c:v>3.5312999999999999</c:v>
                </c:pt>
                <c:pt idx="16">
                  <c:v>3.4691999999999998</c:v>
                </c:pt>
                <c:pt idx="17">
                  <c:v>3.4546000000000001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25-4605-B58D-5732BA98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516352"/>
        <c:axId val="1"/>
      </c:lineChart>
      <c:catAx>
        <c:axId val="111551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623431162013836"/>
              <c:y val="0.754326712621129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5516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38961038961039"/>
          <c:y val="0.80622982680798116"/>
          <c:w val="0.96883225960391306"/>
          <c:h val="0.86505335621974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Property Damage Average Claim Cost ($)</a:t>
            </a:r>
          </a:p>
        </c:rich>
      </c:tx>
      <c:layout>
        <c:manualLayout>
          <c:xMode val="edge"/>
          <c:yMode val="edge"/>
          <c:x val="1.29870129870129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111148787261242"/>
          <c:w val="0.82597507352763988"/>
          <c:h val="0.524307333398889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PurePremiumTrends!$K$11:$K$28</c:f>
              <c:numCache>
                <c:formatCode>#,##0</c:formatCode>
                <c:ptCount val="18"/>
                <c:pt idx="0">
                  <c:v>2496.5988000000002</c:v>
                </c:pt>
                <c:pt idx="1">
                  <c:v>2510.4427999999998</c:v>
                </c:pt>
                <c:pt idx="2">
                  <c:v>2527.3085000000001</c:v>
                </c:pt>
                <c:pt idx="3">
                  <c:v>2544.5853000000002</c:v>
                </c:pt>
                <c:pt idx="4">
                  <c:v>2567.41</c:v>
                </c:pt>
                <c:pt idx="5">
                  <c:v>2596.0252</c:v>
                </c:pt>
                <c:pt idx="6">
                  <c:v>2621.3735999999999</c:v>
                </c:pt>
                <c:pt idx="7">
                  <c:v>2643.6574999999998</c:v>
                </c:pt>
                <c:pt idx="8">
                  <c:v>2661.3263999999999</c:v>
                </c:pt>
                <c:pt idx="9">
                  <c:v>2680.1676000000002</c:v>
                </c:pt>
                <c:pt idx="10">
                  <c:v>2693.4416999999999</c:v>
                </c:pt>
                <c:pt idx="11">
                  <c:v>2709.2847000000002</c:v>
                </c:pt>
                <c:pt idx="12">
                  <c:v>2718.3508000000002</c:v>
                </c:pt>
                <c:pt idx="13">
                  <c:v>2734.3312000000001</c:v>
                </c:pt>
                <c:pt idx="14">
                  <c:v>2748.1767</c:v>
                </c:pt>
                <c:pt idx="15">
                  <c:v>2757.79</c:v>
                </c:pt>
                <c:pt idx="16">
                  <c:v>2773.7855</c:v>
                </c:pt>
                <c:pt idx="17">
                  <c:v>2774.7044999999998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64-4927-85A1-D7CC2E8BEF4D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Sheet5!$AB$1:$AB$18</c:f>
              <c:numCache>
                <c:formatCode>General</c:formatCode>
                <c:ptCount val="18"/>
                <c:pt idx="0">
                  <c:v>2496.5988000000002</c:v>
                </c:pt>
                <c:pt idx="1">
                  <c:v>2510.4427999999998</c:v>
                </c:pt>
                <c:pt idx="2">
                  <c:v>2527.3085000000001</c:v>
                </c:pt>
                <c:pt idx="3">
                  <c:v>2544.5853000000002</c:v>
                </c:pt>
                <c:pt idx="4">
                  <c:v>2567.41</c:v>
                </c:pt>
                <c:pt idx="5">
                  <c:v>2596.0252</c:v>
                </c:pt>
                <c:pt idx="6">
                  <c:v>2621.3735999999999</c:v>
                </c:pt>
                <c:pt idx="7">
                  <c:v>2643.6574999999998</c:v>
                </c:pt>
                <c:pt idx="8">
                  <c:v>2661.3263999999999</c:v>
                </c:pt>
                <c:pt idx="9">
                  <c:v>2680.1676000000002</c:v>
                </c:pt>
                <c:pt idx="10">
                  <c:v>2693.4416999999999</c:v>
                </c:pt>
                <c:pt idx="11">
                  <c:v>2709.2847000000002</c:v>
                </c:pt>
                <c:pt idx="12">
                  <c:v>2718.3508000000002</c:v>
                </c:pt>
                <c:pt idx="13">
                  <c:v>2734.3312000000001</c:v>
                </c:pt>
                <c:pt idx="14">
                  <c:v>2748.1767</c:v>
                </c:pt>
                <c:pt idx="15">
                  <c:v>2757.79</c:v>
                </c:pt>
                <c:pt idx="16">
                  <c:v>2773.7855</c:v>
                </c:pt>
                <c:pt idx="17">
                  <c:v>2774.7044999999998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64-4927-85A1-D7CC2E8B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513112"/>
        <c:axId val="1"/>
      </c:lineChart>
      <c:catAx>
        <c:axId val="1115513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103950642533317"/>
              <c:y val="0.77083588509769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5513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0909090909090912E-2"/>
          <c:y val="0.82291958296879553"/>
          <c:w val="0.95065044142209487"/>
          <c:h val="0.88541994750656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Comprehensive Pure Premium ($)</a:t>
            </a:r>
          </a:p>
        </c:rich>
      </c:tx>
      <c:layout>
        <c:manualLayout>
          <c:xMode val="edge"/>
          <c:yMode val="edge"/>
          <c:x val="1.2987012987012988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2403779935"/>
          <c:y val="0.11072683067763077"/>
          <c:w val="0.82597507352763988"/>
          <c:h val="0.51903201880139427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PurePremiumTrends!$M$11:$M$28</c:f>
              <c:numCache>
                <c:formatCode>#,##0.00</c:formatCode>
                <c:ptCount val="18"/>
                <c:pt idx="0">
                  <c:v>70.447000000000003</c:v>
                </c:pt>
                <c:pt idx="1">
                  <c:v>70.416899999999998</c:v>
                </c:pt>
                <c:pt idx="2">
                  <c:v>69.358699999999999</c:v>
                </c:pt>
                <c:pt idx="3">
                  <c:v>69.203299999999999</c:v>
                </c:pt>
                <c:pt idx="4">
                  <c:v>78.452600000000004</c:v>
                </c:pt>
                <c:pt idx="5">
                  <c:v>79.771000000000001</c:v>
                </c:pt>
                <c:pt idx="6">
                  <c:v>82.232500000000002</c:v>
                </c:pt>
                <c:pt idx="7">
                  <c:v>79.839299999999994</c:v>
                </c:pt>
                <c:pt idx="8">
                  <c:v>69.982600000000005</c:v>
                </c:pt>
                <c:pt idx="9">
                  <c:v>68.415400000000005</c:v>
                </c:pt>
                <c:pt idx="10">
                  <c:v>65.149500000000003</c:v>
                </c:pt>
                <c:pt idx="11">
                  <c:v>65.288700000000006</c:v>
                </c:pt>
                <c:pt idx="12">
                  <c:v>64.5869</c:v>
                </c:pt>
                <c:pt idx="13">
                  <c:v>65.347800000000007</c:v>
                </c:pt>
                <c:pt idx="14">
                  <c:v>70.239699999999999</c:v>
                </c:pt>
                <c:pt idx="15">
                  <c:v>72.537899999999993</c:v>
                </c:pt>
                <c:pt idx="16">
                  <c:v>73.972800000000007</c:v>
                </c:pt>
                <c:pt idx="17">
                  <c:v>73.425899999999999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19-4E44-BC91-8D192AF29254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Sheet5!$AD$1:$AD$18</c:f>
              <c:numCache>
                <c:formatCode>General</c:formatCode>
                <c:ptCount val="18"/>
                <c:pt idx="0">
                  <c:v>70.447000000000003</c:v>
                </c:pt>
                <c:pt idx="1">
                  <c:v>70.416899999999998</c:v>
                </c:pt>
                <c:pt idx="2">
                  <c:v>69.358699999999999</c:v>
                </c:pt>
                <c:pt idx="3">
                  <c:v>69.203299999999999</c:v>
                </c:pt>
                <c:pt idx="4">
                  <c:v>78.452600000000004</c:v>
                </c:pt>
                <c:pt idx="5">
                  <c:v>79.771000000000001</c:v>
                </c:pt>
                <c:pt idx="6">
                  <c:v>82.232500000000002</c:v>
                </c:pt>
                <c:pt idx="7">
                  <c:v>79.839299999999994</c:v>
                </c:pt>
                <c:pt idx="8">
                  <c:v>69.982600000000005</c:v>
                </c:pt>
                <c:pt idx="9">
                  <c:v>68.415400000000005</c:v>
                </c:pt>
                <c:pt idx="10">
                  <c:v>65.149500000000003</c:v>
                </c:pt>
                <c:pt idx="11">
                  <c:v>65.288700000000006</c:v>
                </c:pt>
                <c:pt idx="12">
                  <c:v>64.5869</c:v>
                </c:pt>
                <c:pt idx="13">
                  <c:v>65.347800000000007</c:v>
                </c:pt>
                <c:pt idx="14">
                  <c:v>70.239699999999999</c:v>
                </c:pt>
                <c:pt idx="15">
                  <c:v>72.537899999999993</c:v>
                </c:pt>
                <c:pt idx="16">
                  <c:v>73.972800000000007</c:v>
                </c:pt>
                <c:pt idx="17">
                  <c:v>73.425899999999999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19-4E44-BC91-8D192AF2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510232"/>
        <c:axId val="1"/>
      </c:lineChart>
      <c:catAx>
        <c:axId val="1115510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584470123052797"/>
              <c:y val="0.75778692023358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5510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909118178409517"/>
          <c:y val="0.79238899635815407"/>
          <c:w val="0.9792221426867096"/>
          <c:h val="0.861593148607288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Comprehensive Paid Claim Frequency Per 100 Cars</a:t>
            </a:r>
          </a:p>
        </c:rich>
      </c:tx>
      <c:layout>
        <c:manualLayout>
          <c:xMode val="edge"/>
          <c:yMode val="edge"/>
          <c:x val="2.5974025974025976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547299293957"/>
          <c:y val="0.11111148787261242"/>
          <c:w val="0.82337766763604359"/>
          <c:h val="0.51041839741481332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PurePremiumTrends!$N$11:$N$28</c:f>
              <c:numCache>
                <c:formatCode>#,##0.00</c:formatCode>
                <c:ptCount val="18"/>
                <c:pt idx="0">
                  <c:v>7.3830999999999998</c:v>
                </c:pt>
                <c:pt idx="1">
                  <c:v>7.3367000000000004</c:v>
                </c:pt>
                <c:pt idx="2">
                  <c:v>7.2392000000000003</c:v>
                </c:pt>
                <c:pt idx="3">
                  <c:v>7.0910000000000002</c:v>
                </c:pt>
                <c:pt idx="4">
                  <c:v>7.1603000000000003</c:v>
                </c:pt>
                <c:pt idx="5">
                  <c:v>7.0679999999999996</c:v>
                </c:pt>
                <c:pt idx="6">
                  <c:v>7.0042999999999997</c:v>
                </c:pt>
                <c:pt idx="7">
                  <c:v>6.7777000000000003</c:v>
                </c:pt>
                <c:pt idx="8">
                  <c:v>6.4633000000000003</c:v>
                </c:pt>
                <c:pt idx="9">
                  <c:v>6.3038999999999996</c:v>
                </c:pt>
                <c:pt idx="10">
                  <c:v>6.1162999999999998</c:v>
                </c:pt>
                <c:pt idx="11">
                  <c:v>6.0904999999999996</c:v>
                </c:pt>
                <c:pt idx="12">
                  <c:v>6.0442999999999998</c:v>
                </c:pt>
                <c:pt idx="13">
                  <c:v>6.0420999999999996</c:v>
                </c:pt>
                <c:pt idx="14">
                  <c:v>6.1711</c:v>
                </c:pt>
                <c:pt idx="15">
                  <c:v>6.1943000000000001</c:v>
                </c:pt>
                <c:pt idx="16">
                  <c:v>6.1424000000000003</c:v>
                </c:pt>
                <c:pt idx="17">
                  <c:v>6.14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D5-45A0-B831-BE0236B77EBA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Sheet5!$AE$1:$AE$18</c:f>
              <c:numCache>
                <c:formatCode>General</c:formatCode>
                <c:ptCount val="18"/>
                <c:pt idx="0">
                  <c:v>7.3830999999999998</c:v>
                </c:pt>
                <c:pt idx="1">
                  <c:v>7.3367000000000004</c:v>
                </c:pt>
                <c:pt idx="2">
                  <c:v>7.2392000000000003</c:v>
                </c:pt>
                <c:pt idx="3">
                  <c:v>7.0910000000000002</c:v>
                </c:pt>
                <c:pt idx="4">
                  <c:v>7.1603000000000003</c:v>
                </c:pt>
                <c:pt idx="5">
                  <c:v>7.0679999999999996</c:v>
                </c:pt>
                <c:pt idx="6">
                  <c:v>7.0042999999999997</c:v>
                </c:pt>
                <c:pt idx="7">
                  <c:v>6.7777000000000003</c:v>
                </c:pt>
                <c:pt idx="8">
                  <c:v>6.4633000000000003</c:v>
                </c:pt>
                <c:pt idx="9">
                  <c:v>6.3038999999999996</c:v>
                </c:pt>
                <c:pt idx="10">
                  <c:v>6.1162999999999998</c:v>
                </c:pt>
                <c:pt idx="11">
                  <c:v>6.0904999999999996</c:v>
                </c:pt>
                <c:pt idx="12">
                  <c:v>6.0442999999999998</c:v>
                </c:pt>
                <c:pt idx="13">
                  <c:v>6.0420999999999996</c:v>
                </c:pt>
                <c:pt idx="14">
                  <c:v>6.1711</c:v>
                </c:pt>
                <c:pt idx="15">
                  <c:v>6.1943000000000001</c:v>
                </c:pt>
                <c:pt idx="16">
                  <c:v>6.1424000000000003</c:v>
                </c:pt>
                <c:pt idx="17">
                  <c:v>6.14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D5-45A0-B831-BE0236B7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510952"/>
        <c:axId val="1"/>
      </c:lineChart>
      <c:catAx>
        <c:axId val="1115510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103950642533317"/>
              <c:y val="0.75347477398658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5510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5324675324675322E-2"/>
          <c:y val="0.76041921843102944"/>
          <c:w val="0.98181927259092605"/>
          <c:h val="0.822919582968795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4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9525</xdr:rowOff>
        </xdr:from>
        <xdr:to>
          <xdr:col>5</xdr:col>
          <xdr:colOff>9525</xdr:colOff>
          <xdr:row>1</xdr:row>
          <xdr:rowOff>85725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0</xdr:row>
          <xdr:rowOff>38100</xdr:rowOff>
        </xdr:from>
        <xdr:to>
          <xdr:col>20</xdr:col>
          <xdr:colOff>371475</xdr:colOff>
          <xdr:row>2</xdr:row>
          <xdr:rowOff>123825</xdr:rowOff>
        </xdr:to>
        <xdr:sp macro="" textlink="">
          <xdr:nvSpPr>
            <xdr:cNvPr id="1028" name="cmdPrintPurePremium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0</xdr:row>
          <xdr:rowOff>0</xdr:rowOff>
        </xdr:from>
        <xdr:to>
          <xdr:col>18</xdr:col>
          <xdr:colOff>419100</xdr:colOff>
          <xdr:row>3</xdr:row>
          <xdr:rowOff>0</xdr:rowOff>
        </xdr:to>
        <xdr:sp macro="" textlink="">
          <xdr:nvSpPr>
            <xdr:cNvPr id="1030" name="List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752475</xdr:colOff>
          <xdr:row>1</xdr:row>
          <xdr:rowOff>85725</xdr:rowOff>
        </xdr:to>
        <xdr:sp macro="" textlink="">
          <xdr:nvSpPr>
            <xdr:cNvPr id="38913" name="ComboBox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19050</xdr:rowOff>
        </xdr:from>
        <xdr:to>
          <xdr:col>15</xdr:col>
          <xdr:colOff>114300</xdr:colOff>
          <xdr:row>15</xdr:row>
          <xdr:rowOff>114300</xdr:rowOff>
        </xdr:to>
        <xdr:sp macro="" textlink="">
          <xdr:nvSpPr>
            <xdr:cNvPr id="38914" name="cmdPrintData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19050</xdr:rowOff>
        </xdr:from>
        <xdr:to>
          <xdr:col>15</xdr:col>
          <xdr:colOff>342900</xdr:colOff>
          <xdr:row>3</xdr:row>
          <xdr:rowOff>28575</xdr:rowOff>
        </xdr:to>
        <xdr:sp macro="" textlink="">
          <xdr:nvSpPr>
            <xdr:cNvPr id="38916" name="Label1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1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</xdr:row>
          <xdr:rowOff>0</xdr:rowOff>
        </xdr:from>
        <xdr:to>
          <xdr:col>19</xdr:col>
          <xdr:colOff>57150</xdr:colOff>
          <xdr:row>14</xdr:row>
          <xdr:rowOff>38100</xdr:rowOff>
        </xdr:to>
        <xdr:sp macro="" textlink="">
          <xdr:nvSpPr>
            <xdr:cNvPr id="38917" name="ListBox1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1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</xdr:col>
          <xdr:colOff>9525</xdr:colOff>
          <xdr:row>1</xdr:row>
          <xdr:rowOff>85725</xdr:rowOff>
        </xdr:to>
        <xdr:sp macro="" textlink="">
          <xdr:nvSpPr>
            <xdr:cNvPr id="39937" name="ComboBox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38100</xdr:rowOff>
        </xdr:from>
        <xdr:to>
          <xdr:col>7</xdr:col>
          <xdr:colOff>733425</xdr:colOff>
          <xdr:row>8</xdr:row>
          <xdr:rowOff>133350</xdr:rowOff>
        </xdr:to>
        <xdr:sp macro="" textlink="">
          <xdr:nvSpPr>
            <xdr:cNvPr id="39938" name="cmdPrintLoss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2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</xdr:row>
          <xdr:rowOff>9525</xdr:rowOff>
        </xdr:from>
        <xdr:to>
          <xdr:col>7</xdr:col>
          <xdr:colOff>990600</xdr:colOff>
          <xdr:row>2</xdr:row>
          <xdr:rowOff>9525</xdr:rowOff>
        </xdr:to>
        <xdr:sp macro="" textlink="">
          <xdr:nvSpPr>
            <xdr:cNvPr id="39940" name="Label1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2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9525</xdr:rowOff>
        </xdr:from>
        <xdr:to>
          <xdr:col>11</xdr:col>
          <xdr:colOff>600075</xdr:colOff>
          <xdr:row>7</xdr:row>
          <xdr:rowOff>9525</xdr:rowOff>
        </xdr:to>
        <xdr:sp macro="" textlink="">
          <xdr:nvSpPr>
            <xdr:cNvPr id="39941" name="ListBox1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2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5</xdr:col>
      <xdr:colOff>9525</xdr:colOff>
      <xdr:row>22</xdr:row>
      <xdr:rowOff>152400</xdr:rowOff>
    </xdr:to>
    <xdr:graphicFrame macro="">
      <xdr:nvGraphicFramePr>
        <xdr:cNvPr id="2079" name="Chart 1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5</xdr:col>
      <xdr:colOff>9525</xdr:colOff>
      <xdr:row>39</xdr:row>
      <xdr:rowOff>152400</xdr:rowOff>
    </xdr:to>
    <xdr:graphicFrame macro="">
      <xdr:nvGraphicFramePr>
        <xdr:cNvPr id="2080" name="Chart 2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5</xdr:col>
      <xdr:colOff>9525</xdr:colOff>
      <xdr:row>56</xdr:row>
      <xdr:rowOff>152400</xdr:rowOff>
    </xdr:to>
    <xdr:graphicFrame macro="">
      <xdr:nvGraphicFramePr>
        <xdr:cNvPr id="2081" name="Chart 3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5</xdr:col>
      <xdr:colOff>9525</xdr:colOff>
      <xdr:row>72</xdr:row>
      <xdr:rowOff>152400</xdr:rowOff>
    </xdr:to>
    <xdr:graphicFrame macro="">
      <xdr:nvGraphicFramePr>
        <xdr:cNvPr id="2082" name="Chart 4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9525</xdr:colOff>
      <xdr:row>22</xdr:row>
      <xdr:rowOff>152400</xdr:rowOff>
    </xdr:to>
    <xdr:graphicFrame macro="">
      <xdr:nvGraphicFramePr>
        <xdr:cNvPr id="2083" name="Chart 5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2084" name="Chart 6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40</xdr:row>
      <xdr:rowOff>9525</xdr:rowOff>
    </xdr:from>
    <xdr:to>
      <xdr:col>10</xdr:col>
      <xdr:colOff>9525</xdr:colOff>
      <xdr:row>57</xdr:row>
      <xdr:rowOff>0</xdr:rowOff>
    </xdr:to>
    <xdr:graphicFrame macro="">
      <xdr:nvGraphicFramePr>
        <xdr:cNvPr id="2085" name="Chart 7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9525</xdr:colOff>
      <xdr:row>23</xdr:row>
      <xdr:rowOff>0</xdr:rowOff>
    </xdr:to>
    <xdr:graphicFrame macro="">
      <xdr:nvGraphicFramePr>
        <xdr:cNvPr id="2086" name="Chart 8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23</xdr:row>
      <xdr:rowOff>9525</xdr:rowOff>
    </xdr:from>
    <xdr:to>
      <xdr:col>15</xdr:col>
      <xdr:colOff>9525</xdr:colOff>
      <xdr:row>40</xdr:row>
      <xdr:rowOff>0</xdr:rowOff>
    </xdr:to>
    <xdr:graphicFrame macro="">
      <xdr:nvGraphicFramePr>
        <xdr:cNvPr id="2087" name="Chart 9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40</xdr:row>
      <xdr:rowOff>9525</xdr:rowOff>
    </xdr:from>
    <xdr:to>
      <xdr:col>15</xdr:col>
      <xdr:colOff>9525</xdr:colOff>
      <xdr:row>57</xdr:row>
      <xdr:rowOff>0</xdr:rowOff>
    </xdr:to>
    <xdr:graphicFrame macro="">
      <xdr:nvGraphicFramePr>
        <xdr:cNvPr id="2088" name="Chart 10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9525</xdr:colOff>
      <xdr:row>23</xdr:row>
      <xdr:rowOff>0</xdr:rowOff>
    </xdr:to>
    <xdr:graphicFrame macro="">
      <xdr:nvGraphicFramePr>
        <xdr:cNvPr id="2089" name="Chart 11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23</xdr:row>
      <xdr:rowOff>9525</xdr:rowOff>
    </xdr:from>
    <xdr:to>
      <xdr:col>20</xdr:col>
      <xdr:colOff>9525</xdr:colOff>
      <xdr:row>40</xdr:row>
      <xdr:rowOff>0</xdr:rowOff>
    </xdr:to>
    <xdr:graphicFrame macro="">
      <xdr:nvGraphicFramePr>
        <xdr:cNvPr id="2090" name="Chart 12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40</xdr:row>
      <xdr:rowOff>9525</xdr:rowOff>
    </xdr:from>
    <xdr:to>
      <xdr:col>20</xdr:col>
      <xdr:colOff>9525</xdr:colOff>
      <xdr:row>57</xdr:row>
      <xdr:rowOff>0</xdr:rowOff>
    </xdr:to>
    <xdr:graphicFrame macro="">
      <xdr:nvGraphicFramePr>
        <xdr:cNvPr id="2091" name="Chart 13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9525</xdr:colOff>
      <xdr:row>23</xdr:row>
      <xdr:rowOff>0</xdr:rowOff>
    </xdr:to>
    <xdr:graphicFrame macro="">
      <xdr:nvGraphicFramePr>
        <xdr:cNvPr id="2092" name="Chart 14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23</xdr:row>
      <xdr:rowOff>9525</xdr:rowOff>
    </xdr:from>
    <xdr:to>
      <xdr:col>25</xdr:col>
      <xdr:colOff>9525</xdr:colOff>
      <xdr:row>40</xdr:row>
      <xdr:rowOff>0</xdr:rowOff>
    </xdr:to>
    <xdr:graphicFrame macro="">
      <xdr:nvGraphicFramePr>
        <xdr:cNvPr id="2093" name="Chart 15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0</xdr:colOff>
      <xdr:row>40</xdr:row>
      <xdr:rowOff>9525</xdr:rowOff>
    </xdr:from>
    <xdr:to>
      <xdr:col>25</xdr:col>
      <xdr:colOff>9525</xdr:colOff>
      <xdr:row>56</xdr:row>
      <xdr:rowOff>152400</xdr:rowOff>
    </xdr:to>
    <xdr:graphicFrame macro="">
      <xdr:nvGraphicFramePr>
        <xdr:cNvPr id="2094" name="Chart 16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57</xdr:row>
      <xdr:rowOff>0</xdr:rowOff>
    </xdr:from>
    <xdr:to>
      <xdr:col>25</xdr:col>
      <xdr:colOff>9525</xdr:colOff>
      <xdr:row>74</xdr:row>
      <xdr:rowOff>0</xdr:rowOff>
    </xdr:to>
    <xdr:graphicFrame macro="">
      <xdr:nvGraphicFramePr>
        <xdr:cNvPr id="2095" name="Chart 17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285750</xdr:colOff>
          <xdr:row>1</xdr:row>
          <xdr:rowOff>76200</xdr:rowOff>
        </xdr:to>
        <xdr:sp macro="" textlink="">
          <xdr:nvSpPr>
            <xdr:cNvPr id="2072" name="ComboBox1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1</xdr:row>
          <xdr:rowOff>104775</xdr:rowOff>
        </xdr:from>
        <xdr:to>
          <xdr:col>35</xdr:col>
          <xdr:colOff>228600</xdr:colOff>
          <xdr:row>17</xdr:row>
          <xdr:rowOff>142875</xdr:rowOff>
        </xdr:to>
        <xdr:sp macro="" textlink="">
          <xdr:nvSpPr>
            <xdr:cNvPr id="2073" name="ListBox1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17</xdr:row>
          <xdr:rowOff>142875</xdr:rowOff>
        </xdr:from>
        <xdr:to>
          <xdr:col>32</xdr:col>
          <xdr:colOff>152400</xdr:colOff>
          <xdr:row>19</xdr:row>
          <xdr:rowOff>57150</xdr:rowOff>
        </xdr:to>
        <xdr:sp macro="" textlink="">
          <xdr:nvSpPr>
            <xdr:cNvPr id="2074" name="cmdPrint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0</xdr:row>
          <xdr:rowOff>95250</xdr:rowOff>
        </xdr:from>
        <xdr:to>
          <xdr:col>32</xdr:col>
          <xdr:colOff>152400</xdr:colOff>
          <xdr:row>1</xdr:row>
          <xdr:rowOff>95250</xdr:rowOff>
        </xdr:to>
        <xdr:sp macro="" textlink="">
          <xdr:nvSpPr>
            <xdr:cNvPr id="2075" name="Label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26</xdr:col>
      <xdr:colOff>0</xdr:colOff>
      <xdr:row>6</xdr:row>
      <xdr:rowOff>0</xdr:rowOff>
    </xdr:from>
    <xdr:to>
      <xdr:col>30</xdr:col>
      <xdr:colOff>9525</xdr:colOff>
      <xdr:row>23</xdr:row>
      <xdr:rowOff>0</xdr:rowOff>
    </xdr:to>
    <xdr:graphicFrame macro="">
      <xdr:nvGraphicFramePr>
        <xdr:cNvPr id="2096" name="Chart 28" hidden="1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0</xdr:colOff>
      <xdr:row>23</xdr:row>
      <xdr:rowOff>9525</xdr:rowOff>
    </xdr:from>
    <xdr:to>
      <xdr:col>30</xdr:col>
      <xdr:colOff>9525</xdr:colOff>
      <xdr:row>40</xdr:row>
      <xdr:rowOff>0</xdr:rowOff>
    </xdr:to>
    <xdr:graphicFrame macro="">
      <xdr:nvGraphicFramePr>
        <xdr:cNvPr id="2097" name="Chart 29" hidden="1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0</xdr:colOff>
      <xdr:row>40</xdr:row>
      <xdr:rowOff>9525</xdr:rowOff>
    </xdr:from>
    <xdr:to>
      <xdr:col>30</xdr:col>
      <xdr:colOff>9525</xdr:colOff>
      <xdr:row>56</xdr:row>
      <xdr:rowOff>152400</xdr:rowOff>
    </xdr:to>
    <xdr:graphicFrame macro="">
      <xdr:nvGraphicFramePr>
        <xdr:cNvPr id="2098" name="Chart 30" hidden="1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control" Target="../activeX/activeX7.xml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control" Target="../activeX/activeX12.xml"/><Relationship Id="rId7" Type="http://schemas.openxmlformats.org/officeDocument/2006/relationships/control" Target="../activeX/activeX1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image" Target="../media/image13.emf"/><Relationship Id="rId5" Type="http://schemas.openxmlformats.org/officeDocument/2006/relationships/control" Target="../activeX/activeX13.xml"/><Relationship Id="rId10" Type="http://schemas.openxmlformats.org/officeDocument/2006/relationships/image" Target="../media/image15.emf"/><Relationship Id="rId4" Type="http://schemas.openxmlformats.org/officeDocument/2006/relationships/image" Target="../media/image12.emf"/><Relationship Id="rId9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D218-9E23-4ACB-A1A0-A3CC92824F74}">
  <sheetPr codeName="Sheet1"/>
  <dimension ref="B1:AF74"/>
  <sheetViews>
    <sheetView tabSelected="1" workbookViewId="0">
      <selection activeCell="D1" sqref="D1:E1"/>
    </sheetView>
  </sheetViews>
  <sheetFormatPr defaultRowHeight="12.75" x14ac:dyDescent="0.2"/>
  <cols>
    <col min="1" max="1" width="0.85546875" customWidth="1"/>
    <col min="2" max="2" width="7.85546875" customWidth="1"/>
    <col min="3" max="3" width="1.28515625" customWidth="1"/>
    <col min="4" max="4" width="10" style="2" customWidth="1"/>
    <col min="5" max="5" width="7.7109375" style="2" customWidth="1"/>
    <col min="6" max="6" width="7.7109375" style="1" customWidth="1"/>
    <col min="7" max="7" width="7.7109375" style="2" customWidth="1"/>
    <col min="8" max="8" width="0.7109375" customWidth="1"/>
    <col min="9" max="9" width="10" style="2" customWidth="1"/>
    <col min="10" max="10" width="7.7109375" style="2" customWidth="1"/>
    <col min="11" max="11" width="7.7109375" style="1" customWidth="1"/>
    <col min="12" max="12" width="0.7109375" customWidth="1"/>
    <col min="13" max="13" width="10" style="2" customWidth="1"/>
    <col min="14" max="14" width="7.7109375" style="2" customWidth="1"/>
    <col min="15" max="15" width="7.7109375" style="1" customWidth="1"/>
    <col min="16" max="16" width="0.7109375" customWidth="1"/>
    <col min="17" max="17" width="10" style="2" customWidth="1"/>
    <col min="18" max="18" width="7.7109375" style="2" customWidth="1"/>
    <col min="19" max="19" width="7.7109375" style="1" customWidth="1"/>
    <col min="20" max="20" width="0.7109375" customWidth="1"/>
    <col min="21" max="21" width="10" style="2" customWidth="1"/>
    <col min="22" max="22" width="7.7109375" style="2" customWidth="1"/>
    <col min="23" max="23" width="7.7109375" style="1" customWidth="1"/>
    <col min="24" max="24" width="7.7109375" style="2" customWidth="1"/>
    <col min="25" max="25" width="0.85546875" customWidth="1"/>
    <col min="26" max="26" width="10" style="2" customWidth="1"/>
    <col min="27" max="27" width="7.7109375" style="2" customWidth="1"/>
    <col min="28" max="28" width="7.7109375" style="1" customWidth="1"/>
    <col min="32" max="32" width="16.42578125" customWidth="1"/>
  </cols>
  <sheetData>
    <row r="1" spans="2:32" x14ac:dyDescent="0.2">
      <c r="C1" t="b">
        <f>ISNUMBER(VLOOKUP($B11&amp;"PIP"&amp;State,Sheet5!$A$2:$I$295,6,FALSE))</f>
        <v>1</v>
      </c>
      <c r="D1" s="66" t="s">
        <v>88</v>
      </c>
      <c r="E1" s="66"/>
    </row>
    <row r="2" spans="2:32" ht="14.25" x14ac:dyDescent="0.2">
      <c r="B2" s="67" t="s">
        <v>44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AF2" s="3"/>
    </row>
    <row r="3" spans="2:32" ht="14.25" customHeight="1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AF3" s="3"/>
    </row>
    <row r="4" spans="2:32" x14ac:dyDescent="0.2">
      <c r="B4" s="67" t="str">
        <f>State</f>
        <v>Multi-state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AF4" s="3"/>
    </row>
    <row r="5" spans="2:32" ht="6" customHeight="1" x14ac:dyDescent="0.2">
      <c r="P5" s="4"/>
      <c r="AF5" s="3"/>
    </row>
    <row r="6" spans="2:32" x14ac:dyDescent="0.2">
      <c r="D6" s="65" t="s">
        <v>2</v>
      </c>
      <c r="E6" s="65"/>
      <c r="F6" s="65"/>
      <c r="G6" s="65"/>
      <c r="I6" s="65" t="s">
        <v>3</v>
      </c>
      <c r="J6" s="65"/>
      <c r="K6" s="65"/>
      <c r="M6" s="65" t="s">
        <v>4</v>
      </c>
      <c r="N6" s="65"/>
      <c r="O6" s="65"/>
      <c r="Q6" s="65" t="s">
        <v>5</v>
      </c>
      <c r="R6" s="65"/>
      <c r="S6" s="65"/>
      <c r="U6" s="65" t="str">
        <f>IF(PIP="","",IF(C1=FALSE,"","PIP"))</f>
        <v>PIP</v>
      </c>
      <c r="V6" s="65"/>
      <c r="W6" s="65"/>
      <c r="X6" s="65"/>
      <c r="Z6" s="65" t="str">
        <f>IF(PPI="","",IF(State="Michigan",PPI,IF(State="East North Central",PPI,"")))</f>
        <v/>
      </c>
      <c r="AA6" s="65"/>
      <c r="AB6" s="65"/>
      <c r="AC6" s="35"/>
      <c r="AF6" s="3"/>
    </row>
    <row r="7" spans="2:32" x14ac:dyDescent="0.2">
      <c r="B7" s="32" t="s">
        <v>6</v>
      </c>
      <c r="C7" s="5"/>
      <c r="D7" s="6"/>
      <c r="E7" s="6" t="s">
        <v>7</v>
      </c>
      <c r="F7" s="7" t="s">
        <v>7</v>
      </c>
      <c r="G7" s="8" t="s">
        <v>8</v>
      </c>
      <c r="H7" s="5"/>
      <c r="I7" s="6"/>
      <c r="J7" s="6" t="s">
        <v>7</v>
      </c>
      <c r="K7" s="7" t="s">
        <v>7</v>
      </c>
      <c r="L7" s="5"/>
      <c r="M7" s="6"/>
      <c r="N7" s="6" t="s">
        <v>7</v>
      </c>
      <c r="O7" s="7" t="s">
        <v>7</v>
      </c>
      <c r="P7" s="5"/>
      <c r="Q7" s="6"/>
      <c r="R7" s="6" t="s">
        <v>7</v>
      </c>
      <c r="S7" s="7" t="s">
        <v>7</v>
      </c>
      <c r="U7" s="6"/>
      <c r="V7" s="6" t="str">
        <f>IF(PIP="","",IF(C1=FALSE,"","Paid"))</f>
        <v>Paid</v>
      </c>
      <c r="W7" s="7" t="str">
        <f>IF(PIP="","",IF(C1=FALSE,"","Paid"))</f>
        <v>Paid</v>
      </c>
      <c r="X7" s="6" t="str">
        <f>IF(PIP="","",IF(C1=FALSE,"","Arising"))</f>
        <v>Arising</v>
      </c>
      <c r="Z7" s="6"/>
      <c r="AA7" s="6" t="str">
        <f>IF(_PPI1="","","Paid")</f>
        <v/>
      </c>
      <c r="AB7" s="7" t="str">
        <f>IF(_PPI1="","","Paid")</f>
        <v/>
      </c>
      <c r="AC7" s="6"/>
      <c r="AF7" s="3"/>
    </row>
    <row r="8" spans="2:32" x14ac:dyDescent="0.2">
      <c r="B8" s="32" t="s">
        <v>12</v>
      </c>
      <c r="C8" s="5"/>
      <c r="D8" s="6" t="s">
        <v>10</v>
      </c>
      <c r="E8" s="6" t="s">
        <v>11</v>
      </c>
      <c r="F8" s="7" t="s">
        <v>11</v>
      </c>
      <c r="G8" s="6" t="s">
        <v>11</v>
      </c>
      <c r="H8" s="5"/>
      <c r="I8" s="6" t="s">
        <v>10</v>
      </c>
      <c r="J8" s="6" t="s">
        <v>11</v>
      </c>
      <c r="K8" s="7" t="s">
        <v>11</v>
      </c>
      <c r="L8" s="5"/>
      <c r="M8" s="6" t="s">
        <v>10</v>
      </c>
      <c r="N8" s="6" t="s">
        <v>11</v>
      </c>
      <c r="O8" s="7" t="s">
        <v>11</v>
      </c>
      <c r="P8" s="5"/>
      <c r="Q8" s="6" t="s">
        <v>10</v>
      </c>
      <c r="R8" s="6" t="s">
        <v>11</v>
      </c>
      <c r="S8" s="7" t="s">
        <v>11</v>
      </c>
      <c r="U8" s="6" t="str">
        <f>IF(PIP="","",IF(C1=FALSE,"","Pure"))</f>
        <v>Pure</v>
      </c>
      <c r="V8" s="6" t="str">
        <f>IF(PIP="","",IF(C1=FALSE,"","Claim"))</f>
        <v>Claim</v>
      </c>
      <c r="W8" s="7" t="str">
        <f>IF(PIP="","",IF(C1=FALSE,"","Claim"))</f>
        <v>Claim</v>
      </c>
      <c r="X8" s="6" t="str">
        <f>IF(PIP="","",IF(C1=FALSE,"","Claim"))</f>
        <v>Claim</v>
      </c>
      <c r="Z8" s="6" t="str">
        <f>IF(_PPI1="","","Pure")</f>
        <v/>
      </c>
      <c r="AA8" s="6" t="str">
        <f>IF(_PPI1="","","Claim")</f>
        <v/>
      </c>
      <c r="AB8" s="7" t="str">
        <f>IF(_PPI1="","","Claim")</f>
        <v/>
      </c>
      <c r="AC8" s="6"/>
      <c r="AF8" s="3"/>
    </row>
    <row r="9" spans="2:32" x14ac:dyDescent="0.2">
      <c r="B9" s="33" t="s">
        <v>9</v>
      </c>
      <c r="C9" s="5"/>
      <c r="D9" s="9" t="s">
        <v>55</v>
      </c>
      <c r="E9" s="9" t="s">
        <v>13</v>
      </c>
      <c r="F9" s="10" t="s">
        <v>22</v>
      </c>
      <c r="G9" s="9" t="s">
        <v>13</v>
      </c>
      <c r="H9" s="5"/>
      <c r="I9" s="9" t="s">
        <v>55</v>
      </c>
      <c r="J9" s="9" t="s">
        <v>13</v>
      </c>
      <c r="K9" s="10" t="s">
        <v>22</v>
      </c>
      <c r="L9" s="5"/>
      <c r="M9" s="9" t="s">
        <v>55</v>
      </c>
      <c r="N9" s="9" t="s">
        <v>13</v>
      </c>
      <c r="O9" s="10" t="s">
        <v>22</v>
      </c>
      <c r="P9" s="5"/>
      <c r="Q9" s="9" t="s">
        <v>55</v>
      </c>
      <c r="R9" s="9" t="s">
        <v>13</v>
      </c>
      <c r="S9" s="10" t="s">
        <v>22</v>
      </c>
      <c r="U9" s="9" t="str">
        <f>IF(PIP="","",IF(C1=FALSE,"","Premium($)"))</f>
        <v>Premium($)</v>
      </c>
      <c r="V9" s="9" t="str">
        <f>IF(PIP="","",IF(C1=FALSE,"","Freq.*"))</f>
        <v>Freq.*</v>
      </c>
      <c r="W9" s="10" t="str">
        <f>IF(PIP="","",IF(C1=FALSE,"","Cost($)"))</f>
        <v>Cost($)</v>
      </c>
      <c r="X9" s="9" t="str">
        <f>IF(PIP="","",IF(C1=FALSE,"","Freq.*"))</f>
        <v>Freq.*</v>
      </c>
      <c r="Z9" s="9" t="str">
        <f>IF(_PPI1="","","Premium($)")</f>
        <v/>
      </c>
      <c r="AA9" s="9" t="str">
        <f>IF(_PPI1="","","Freq.*")</f>
        <v/>
      </c>
      <c r="AB9" s="10" t="str">
        <f>IF(_PPI1="","","Cost($)")</f>
        <v/>
      </c>
      <c r="AC9" s="9"/>
      <c r="AF9" s="3"/>
    </row>
    <row r="10" spans="2:32" x14ac:dyDescent="0.2">
      <c r="AF10" s="3"/>
    </row>
    <row r="11" spans="2:32" x14ac:dyDescent="0.2">
      <c r="B11" t="s">
        <v>700</v>
      </c>
      <c r="D11" s="2">
        <f>VLOOKUP($B11&amp;"BI"&amp;State,Sheet5!$A$2:$I$295,6,FALSE)</f>
        <v>108.55759999999999</v>
      </c>
      <c r="E11" s="2">
        <f>VLOOKUP($B11&amp;"BI"&amp;State,Sheet5!$A$2:$I$295,7,FALSE)</f>
        <v>1.1105</v>
      </c>
      <c r="F11" s="1">
        <f>VLOOKUP($B11&amp;"BI"&amp;State,Sheet5!$A$2:$I$295,8,FALSE)</f>
        <v>9775.8690000000006</v>
      </c>
      <c r="G11" s="2">
        <f>VLOOKUP($B11&amp;"BI"&amp;State,Sheet5!$A$2:$I$295,9,FALSE)</f>
        <v>1.6181000000000001</v>
      </c>
      <c r="I11" s="2">
        <f>VLOOKUP($B11&amp;"PD"&amp;State,Sheet5!$A$2:$I$295,6,FALSE)</f>
        <v>93.7286</v>
      </c>
      <c r="J11" s="2">
        <f>VLOOKUP($B11&amp;"PD"&amp;State,Sheet5!$A$2:$I$295,7,FALSE)</f>
        <v>3.7543000000000002</v>
      </c>
      <c r="K11" s="1">
        <f>VLOOKUP($B11&amp;"PD"&amp;State,Sheet5!$A$2:$I$295,8,FALSE)</f>
        <v>2496.5988000000002</v>
      </c>
      <c r="M11" s="2">
        <f>VLOOKUP($B11&amp;"COMP"&amp;State,Sheet5!$A$2:$I$295,6,FALSE)</f>
        <v>70.447000000000003</v>
      </c>
      <c r="N11" s="2">
        <f>VLOOKUP($B11&amp;"COMP"&amp;State,Sheet5!$A$2:$I$295,7,FALSE)</f>
        <v>7.3830999999999998</v>
      </c>
      <c r="O11" s="1">
        <f>VLOOKUP($B11&amp;"COMP"&amp;State,Sheet5!$A$2:$I$295,8,FALSE)</f>
        <v>954.16980000000001</v>
      </c>
      <c r="Q11" s="2">
        <f>VLOOKUP($B11&amp;"COLL"&amp;State,Sheet5!$A$2:$I$295,6,FALSE)</f>
        <v>168.66919999999999</v>
      </c>
      <c r="R11" s="2">
        <f>VLOOKUP($B11&amp;"COLL"&amp;State,Sheet5!$A$2:$I$295,7,FALSE)</f>
        <v>6.0418000000000003</v>
      </c>
      <c r="S11" s="1">
        <f>VLOOKUP($B11&amp;"COLL"&amp;State,Sheet5!$A$2:$I$295,8,FALSE)</f>
        <v>2791.7064</v>
      </c>
      <c r="U11" s="2">
        <f>IF(PIP="","",IF($C$1=FALSE,"",VLOOKUP($B11&amp;"PIP"&amp;State,Sheet5!$A$2:$I$295,6,FALSE)))</f>
        <v>114.2961</v>
      </c>
      <c r="V11" s="2">
        <f>IF(PIP="","",IF($C$1=FALSE,"",VLOOKUP($B11&amp;"PIP"&amp;State,Sheet5!$A$2:$I$295,7,FALSE)))</f>
        <v>1.669</v>
      </c>
      <c r="W11" s="1">
        <f>IF(PIP="","",IF($C$1=FALSE,"",VLOOKUP($B11&amp;"PIP"&amp;State,Sheet5!$A$2:$I$295,8,FALSE)))</f>
        <v>6847.9758000000002</v>
      </c>
      <c r="X11" s="2">
        <f>IF(PIP="","",IF($C$1=FALSE,"",VLOOKUP($B11&amp;"PIP"&amp;State,Sheet5!$A$2:$I$295,9,FALSE)))</f>
        <v>2.323</v>
      </c>
      <c r="Z11" s="2" t="str">
        <f>IF(_PPI1="","",VLOOKUP($B11&amp;"PPI"&amp;State,Sheet5!$A$2:$I$295,6,FALSE))</f>
        <v/>
      </c>
      <c r="AA11" s="2" t="str">
        <f>IF(_PPI1="","",VLOOKUP($B11&amp;"PPI"&amp;State,Sheet5!$A$2:$I$295,7,FALSE))</f>
        <v/>
      </c>
      <c r="AB11" s="1" t="str">
        <f>IF(_PPI1="","",VLOOKUP($B11&amp;"PPI"&amp;State,Sheet5!$A$2:$I$295,8,FALSE))</f>
        <v/>
      </c>
      <c r="AF11" s="3"/>
    </row>
    <row r="12" spans="2:32" x14ac:dyDescent="0.2">
      <c r="B12" t="s">
        <v>701</v>
      </c>
      <c r="D12" s="2">
        <f>VLOOKUP($B12&amp;"BI"&amp;State,Sheet5!$A$2:$I$295,6,FALSE)</f>
        <v>108.1057</v>
      </c>
      <c r="E12" s="2">
        <f>VLOOKUP($B12&amp;"BI"&amp;State,Sheet5!$A$2:$I$295,7,FALSE)</f>
        <v>1.0954999999999999</v>
      </c>
      <c r="F12" s="1">
        <f>VLOOKUP($B12&amp;"BI"&amp;State,Sheet5!$A$2:$I$295,8,FALSE)</f>
        <v>9868.2127999999993</v>
      </c>
      <c r="G12" s="2">
        <f>VLOOKUP($B12&amp;"BI"&amp;State,Sheet5!$A$2:$I$295,9,FALSE)</f>
        <v>1.6032999999999999</v>
      </c>
      <c r="I12" s="2">
        <f>VLOOKUP($B12&amp;"PD"&amp;State,Sheet5!$A$2:$I$295,6,FALSE)</f>
        <v>93.565799999999996</v>
      </c>
      <c r="J12" s="2">
        <f>VLOOKUP($B12&amp;"PD"&amp;State,Sheet5!$A$2:$I$295,7,FALSE)</f>
        <v>3.7271000000000001</v>
      </c>
      <c r="K12" s="1">
        <f>VLOOKUP($B12&amp;"PD"&amp;State,Sheet5!$A$2:$I$295,8,FALSE)</f>
        <v>2510.4427999999998</v>
      </c>
      <c r="M12" s="2">
        <f>VLOOKUP($B12&amp;"COMP"&amp;State,Sheet5!$A$2:$I$295,6,FALSE)</f>
        <v>70.416899999999998</v>
      </c>
      <c r="N12" s="2">
        <f>VLOOKUP($B12&amp;"COMP"&amp;State,Sheet5!$A$2:$I$295,7,FALSE)</f>
        <v>7.3367000000000004</v>
      </c>
      <c r="O12" s="1">
        <f>VLOOKUP($B12&amp;"COMP"&amp;State,Sheet5!$A$2:$I$295,8,FALSE)</f>
        <v>959.79610000000002</v>
      </c>
      <c r="Q12" s="2">
        <f>VLOOKUP($B12&amp;"COLL"&amp;State,Sheet5!$A$2:$I$295,6,FALSE)</f>
        <v>169.03380000000001</v>
      </c>
      <c r="R12" s="2">
        <f>VLOOKUP($B12&amp;"COLL"&amp;State,Sheet5!$A$2:$I$295,7,FALSE)</f>
        <v>5.9808000000000003</v>
      </c>
      <c r="S12" s="1">
        <f>VLOOKUP($B12&amp;"COLL"&amp;State,Sheet5!$A$2:$I$295,8,FALSE)</f>
        <v>2826.2842000000001</v>
      </c>
      <c r="U12" s="2">
        <f>IF(PIP="","",IF($C$1=FALSE,"",VLOOKUP($B12&amp;"PIP"&amp;State,Sheet5!$A$2:$I$295,6,FALSE)))</f>
        <v>114.2795</v>
      </c>
      <c r="V12" s="2">
        <f>IF(PIP="","",IF($C$1=FALSE,"",VLOOKUP($B12&amp;"PIP"&amp;State,Sheet5!$A$2:$I$295,7,FALSE)))</f>
        <v>1.6315999999999999</v>
      </c>
      <c r="W12" s="1">
        <f>IF(PIP="","",IF($C$1=FALSE,"",VLOOKUP($B12&amp;"PIP"&amp;State,Sheet5!$A$2:$I$295,8,FALSE)))</f>
        <v>7004.0797000000002</v>
      </c>
      <c r="X12" s="2">
        <f>IF(PIP="","",IF($C$1=FALSE,"",VLOOKUP($B12&amp;"PIP"&amp;State,Sheet5!$A$2:$I$295,9,FALSE)))</f>
        <v>2.3144999999999998</v>
      </c>
      <c r="Z12" s="2" t="str">
        <f>IF(_PPI1="","",VLOOKUP($B12&amp;"PPI"&amp;State,Sheet5!$A$2:$I$295,6,FALSE))</f>
        <v/>
      </c>
      <c r="AA12" s="2" t="str">
        <f>IF(_PPI1="","",VLOOKUP($B12&amp;"PPI"&amp;State,Sheet5!$A$2:$I$295,7,FALSE))</f>
        <v/>
      </c>
      <c r="AB12" s="1" t="str">
        <f>IF(_PPI1="","",VLOOKUP($B12&amp;"PPI"&amp;State,Sheet5!$A$2:$I$295,8,FALSE))</f>
        <v/>
      </c>
      <c r="AF12" s="3"/>
    </row>
    <row r="13" spans="2:32" x14ac:dyDescent="0.2">
      <c r="B13" t="s">
        <v>702</v>
      </c>
      <c r="D13" s="2">
        <f>VLOOKUP($B13&amp;"BI"&amp;State,Sheet5!$A$2:$I$295,6,FALSE)</f>
        <v>107.6974</v>
      </c>
      <c r="E13" s="2">
        <f>VLOOKUP($B13&amp;"BI"&amp;State,Sheet5!$A$2:$I$295,7,FALSE)</f>
        <v>1.0840000000000001</v>
      </c>
      <c r="F13" s="1">
        <f>VLOOKUP($B13&amp;"BI"&amp;State,Sheet5!$A$2:$I$295,8,FALSE)</f>
        <v>9935.4534000000003</v>
      </c>
      <c r="G13" s="2">
        <f>VLOOKUP($B13&amp;"BI"&amp;State,Sheet5!$A$2:$I$295,9,FALSE)</f>
        <v>1.5901000000000001</v>
      </c>
      <c r="I13" s="2">
        <f>VLOOKUP($B13&amp;"PD"&amp;State,Sheet5!$A$2:$I$295,6,FALSE)</f>
        <v>94.264200000000002</v>
      </c>
      <c r="J13" s="2">
        <f>VLOOKUP($B13&amp;"PD"&amp;State,Sheet5!$A$2:$I$295,7,FALSE)</f>
        <v>3.7298</v>
      </c>
      <c r="K13" s="1">
        <f>VLOOKUP($B13&amp;"PD"&amp;State,Sheet5!$A$2:$I$295,8,FALSE)</f>
        <v>2527.3085000000001</v>
      </c>
      <c r="M13" s="2">
        <f>VLOOKUP($B13&amp;"COMP"&amp;State,Sheet5!$A$2:$I$295,6,FALSE)</f>
        <v>69.358699999999999</v>
      </c>
      <c r="N13" s="2">
        <f>VLOOKUP($B13&amp;"COMP"&amp;State,Sheet5!$A$2:$I$295,7,FALSE)</f>
        <v>7.2392000000000003</v>
      </c>
      <c r="O13" s="1">
        <f>VLOOKUP($B13&amp;"COMP"&amp;State,Sheet5!$A$2:$I$295,8,FALSE)</f>
        <v>958.10500000000002</v>
      </c>
      <c r="Q13" s="2">
        <f>VLOOKUP($B13&amp;"COLL"&amp;State,Sheet5!$A$2:$I$295,6,FALSE)</f>
        <v>170.69479999999999</v>
      </c>
      <c r="R13" s="2">
        <f>VLOOKUP($B13&amp;"COLL"&amp;State,Sheet5!$A$2:$I$295,7,FALSE)</f>
        <v>5.9710999999999999</v>
      </c>
      <c r="S13" s="1">
        <f>VLOOKUP($B13&amp;"COLL"&amp;State,Sheet5!$A$2:$I$295,8,FALSE)</f>
        <v>2858.7055</v>
      </c>
      <c r="U13" s="2">
        <f>IF(PIP="","",IF($C$1=FALSE,"",VLOOKUP($B13&amp;"PIP"&amp;State,Sheet5!$A$2:$I$295,6,FALSE)))</f>
        <v>114.9953</v>
      </c>
      <c r="V13" s="2">
        <f>IF(PIP="","",IF($C$1=FALSE,"",VLOOKUP($B13&amp;"PIP"&amp;State,Sheet5!$A$2:$I$295,7,FALSE)))</f>
        <v>1.6074999999999999</v>
      </c>
      <c r="W13" s="1">
        <f>IF(PIP="","",IF($C$1=FALSE,"",VLOOKUP($B13&amp;"PIP"&amp;State,Sheet5!$A$2:$I$295,8,FALSE)))</f>
        <v>7153.6638999999996</v>
      </c>
      <c r="X13" s="2">
        <f>IF(PIP="","",IF($C$1=FALSE,"",VLOOKUP($B13&amp;"PIP"&amp;State,Sheet5!$A$2:$I$295,9,FALSE)))</f>
        <v>2.3045</v>
      </c>
      <c r="Z13" s="2" t="str">
        <f>IF(_PPI1="","",VLOOKUP($B13&amp;"PPI"&amp;State,Sheet5!$A$2:$I$295,6,FALSE))</f>
        <v/>
      </c>
      <c r="AA13" s="2" t="str">
        <f>IF(_PPI1="","",VLOOKUP($B13&amp;"PPI"&amp;State,Sheet5!$A$2:$I$295,7,FALSE))</f>
        <v/>
      </c>
      <c r="AB13" s="1" t="str">
        <f>IF(_PPI1="","",VLOOKUP($B13&amp;"PPI"&amp;State,Sheet5!$A$2:$I$295,8,FALSE))</f>
        <v/>
      </c>
      <c r="AF13" s="3"/>
    </row>
    <row r="14" spans="2:32" x14ac:dyDescent="0.2">
      <c r="B14" t="s">
        <v>703</v>
      </c>
      <c r="D14" s="2">
        <f>VLOOKUP($B14&amp;"BI"&amp;State,Sheet5!$A$2:$I$295,6,FALSE)</f>
        <v>107.0116</v>
      </c>
      <c r="E14" s="2">
        <f>VLOOKUP($B14&amp;"BI"&amp;State,Sheet5!$A$2:$I$295,7,FALSE)</f>
        <v>1.0709</v>
      </c>
      <c r="F14" s="1">
        <f>VLOOKUP($B14&amp;"BI"&amp;State,Sheet5!$A$2:$I$295,8,FALSE)</f>
        <v>9992.4547000000002</v>
      </c>
      <c r="G14" s="2">
        <f>VLOOKUP($B14&amp;"BI"&amp;State,Sheet5!$A$2:$I$295,9,FALSE)</f>
        <v>1.5644</v>
      </c>
      <c r="I14" s="2">
        <f>VLOOKUP($B14&amp;"PD"&amp;State,Sheet5!$A$2:$I$295,6,FALSE)</f>
        <v>94.932599999999994</v>
      </c>
      <c r="J14" s="2">
        <f>VLOOKUP($B14&amp;"PD"&amp;State,Sheet5!$A$2:$I$295,7,FALSE)</f>
        <v>3.7307999999999999</v>
      </c>
      <c r="K14" s="1">
        <f>VLOOKUP($B14&amp;"PD"&amp;State,Sheet5!$A$2:$I$295,8,FALSE)</f>
        <v>2544.5853000000002</v>
      </c>
      <c r="M14" s="2">
        <f>VLOOKUP($B14&amp;"COMP"&amp;State,Sheet5!$A$2:$I$295,6,FALSE)</f>
        <v>69.203299999999999</v>
      </c>
      <c r="N14" s="2">
        <f>VLOOKUP($B14&amp;"COMP"&amp;State,Sheet5!$A$2:$I$295,7,FALSE)</f>
        <v>7.0910000000000002</v>
      </c>
      <c r="O14" s="1">
        <f>VLOOKUP($B14&amp;"COMP"&amp;State,Sheet5!$A$2:$I$295,8,FALSE)</f>
        <v>975.93669999999997</v>
      </c>
      <c r="Q14" s="2">
        <f>VLOOKUP($B14&amp;"COLL"&amp;State,Sheet5!$A$2:$I$295,6,FALSE)</f>
        <v>171.09870000000001</v>
      </c>
      <c r="R14" s="2">
        <f>VLOOKUP($B14&amp;"COLL"&amp;State,Sheet5!$A$2:$I$295,7,FALSE)</f>
        <v>5.9600999999999997</v>
      </c>
      <c r="S14" s="1">
        <f>VLOOKUP($B14&amp;"COLL"&amp;State,Sheet5!$A$2:$I$295,8,FALSE)</f>
        <v>2870.7440999999999</v>
      </c>
      <c r="U14" s="2">
        <f>IF(PIP="","",IF($C$1=FALSE,"",VLOOKUP($B14&amp;"PIP"&amp;State,Sheet5!$A$2:$I$295,6,FALSE)))</f>
        <v>113.9851</v>
      </c>
      <c r="V14" s="2">
        <f>IF(PIP="","",IF($C$1=FALSE,"",VLOOKUP($B14&amp;"PIP"&amp;State,Sheet5!$A$2:$I$295,7,FALSE)))</f>
        <v>1.6003000000000001</v>
      </c>
      <c r="W14" s="1">
        <f>IF(PIP="","",IF($C$1=FALSE,"",VLOOKUP($B14&amp;"PIP"&amp;State,Sheet5!$A$2:$I$295,8,FALSE)))</f>
        <v>7122.6967000000004</v>
      </c>
      <c r="X14" s="2">
        <f>IF(PIP="","",IF($C$1=FALSE,"",VLOOKUP($B14&amp;"PIP"&amp;State,Sheet5!$A$2:$I$295,9,FALSE)))</f>
        <v>2.2740999999999998</v>
      </c>
      <c r="Z14" s="2" t="str">
        <f>IF(_PPI1="","",VLOOKUP($B14&amp;"PPI"&amp;State,Sheet5!$A$2:$I$295,6,FALSE))</f>
        <v/>
      </c>
      <c r="AA14" s="2" t="str">
        <f>IF(_PPI1="","",VLOOKUP($B14&amp;"PPI"&amp;State,Sheet5!$A$2:$I$295,7,FALSE))</f>
        <v/>
      </c>
      <c r="AB14" s="1" t="str">
        <f>IF(_PPI1="","",VLOOKUP($B14&amp;"PPI"&amp;State,Sheet5!$A$2:$I$295,8,FALSE))</f>
        <v/>
      </c>
      <c r="AF14" s="3"/>
    </row>
    <row r="15" spans="2:32" x14ac:dyDescent="0.2">
      <c r="B15" t="s">
        <v>704</v>
      </c>
      <c r="D15" s="2">
        <f>VLOOKUP($B15&amp;"BI"&amp;State,Sheet5!$A$2:$I$295,6,FALSE)</f>
        <v>105.5736</v>
      </c>
      <c r="E15" s="2">
        <f>VLOOKUP($B15&amp;"BI"&amp;State,Sheet5!$A$2:$I$295,7,FALSE)</f>
        <v>1.0503</v>
      </c>
      <c r="F15" s="1">
        <f>VLOOKUP($B15&amp;"BI"&amp;State,Sheet5!$A$2:$I$295,8,FALSE)</f>
        <v>10051.9334</v>
      </c>
      <c r="G15" s="2">
        <f>VLOOKUP($B15&amp;"BI"&amp;State,Sheet5!$A$2:$I$295,9,FALSE)</f>
        <v>1.5364</v>
      </c>
      <c r="I15" s="2">
        <f>VLOOKUP($B15&amp;"PD"&amp;State,Sheet5!$A$2:$I$295,6,FALSE)</f>
        <v>94.864699999999999</v>
      </c>
      <c r="J15" s="2">
        <f>VLOOKUP($B15&amp;"PD"&amp;State,Sheet5!$A$2:$I$295,7,FALSE)</f>
        <v>3.6949999999999998</v>
      </c>
      <c r="K15" s="1">
        <f>VLOOKUP($B15&amp;"PD"&amp;State,Sheet5!$A$2:$I$295,8,FALSE)</f>
        <v>2567.41</v>
      </c>
      <c r="M15" s="2">
        <f>VLOOKUP($B15&amp;"COMP"&amp;State,Sheet5!$A$2:$I$295,6,FALSE)</f>
        <v>78.452600000000004</v>
      </c>
      <c r="N15" s="2">
        <f>VLOOKUP($B15&amp;"COMP"&amp;State,Sheet5!$A$2:$I$295,7,FALSE)</f>
        <v>7.1603000000000003</v>
      </c>
      <c r="O15" s="1">
        <f>VLOOKUP($B15&amp;"COMP"&amp;State,Sheet5!$A$2:$I$295,8,FALSE)</f>
        <v>1095.6557</v>
      </c>
      <c r="Q15" s="2">
        <f>VLOOKUP($B15&amp;"COLL"&amp;State,Sheet5!$A$2:$I$295,6,FALSE)</f>
        <v>172.0515</v>
      </c>
      <c r="R15" s="2">
        <f>VLOOKUP($B15&amp;"COLL"&amp;State,Sheet5!$A$2:$I$295,7,FALSE)</f>
        <v>5.9352999999999998</v>
      </c>
      <c r="S15" s="1">
        <f>VLOOKUP($B15&amp;"COLL"&amp;State,Sheet5!$A$2:$I$295,8,FALSE)</f>
        <v>2898.78</v>
      </c>
      <c r="U15" s="2">
        <f>IF(PIP="","",IF($C$1=FALSE,"",VLOOKUP($B15&amp;"PIP"&amp;State,Sheet5!$A$2:$I$295,6,FALSE)))</f>
        <v>113.9335</v>
      </c>
      <c r="V15" s="2">
        <f>IF(PIP="","",IF($C$1=FALSE,"",VLOOKUP($B15&amp;"PIP"&amp;State,Sheet5!$A$2:$I$295,7,FALSE)))</f>
        <v>1.5867</v>
      </c>
      <c r="W15" s="1">
        <f>IF(PIP="","",IF($C$1=FALSE,"",VLOOKUP($B15&amp;"PIP"&amp;State,Sheet5!$A$2:$I$295,8,FALSE)))</f>
        <v>7180.6111000000001</v>
      </c>
      <c r="X15" s="2">
        <f>IF(PIP="","",IF($C$1=FALSE,"",VLOOKUP($B15&amp;"PIP"&amp;State,Sheet5!$A$2:$I$295,9,FALSE)))</f>
        <v>2.2241</v>
      </c>
      <c r="Z15" s="2" t="str">
        <f>IF(_PPI1="","",VLOOKUP($B15&amp;"PPI"&amp;State,Sheet5!$A$2:$I$295,6,FALSE))</f>
        <v/>
      </c>
      <c r="AA15" s="2" t="str">
        <f>IF(_PPI1="","",VLOOKUP($B15&amp;"PPI"&amp;State,Sheet5!$A$2:$I$295,7,FALSE))</f>
        <v/>
      </c>
      <c r="AB15" s="1" t="str">
        <f>IF(_PPI1="","",VLOOKUP($B15&amp;"PPI"&amp;State,Sheet5!$A$2:$I$295,8,FALSE))</f>
        <v/>
      </c>
      <c r="AF15" s="3"/>
    </row>
    <row r="16" spans="2:32" x14ac:dyDescent="0.2">
      <c r="B16" t="s">
        <v>705</v>
      </c>
      <c r="D16" s="2">
        <f>VLOOKUP($B16&amp;"BI"&amp;State,Sheet5!$A$2:$I$295,6,FALSE)</f>
        <v>105.7273</v>
      </c>
      <c r="E16" s="2">
        <f>VLOOKUP($B16&amp;"BI"&amp;State,Sheet5!$A$2:$I$295,7,FALSE)</f>
        <v>1.0388999999999999</v>
      </c>
      <c r="F16" s="1">
        <f>VLOOKUP($B16&amp;"BI"&amp;State,Sheet5!$A$2:$I$295,8,FALSE)</f>
        <v>10177.069799999999</v>
      </c>
      <c r="G16" s="2">
        <f>VLOOKUP($B16&amp;"BI"&amp;State,Sheet5!$A$2:$I$295,9,FALSE)</f>
        <v>1.5194000000000001</v>
      </c>
      <c r="I16" s="2">
        <f>VLOOKUP($B16&amp;"PD"&amp;State,Sheet5!$A$2:$I$295,6,FALSE)</f>
        <v>95.044799999999995</v>
      </c>
      <c r="J16" s="2">
        <f>VLOOKUP($B16&amp;"PD"&amp;State,Sheet5!$A$2:$I$295,7,FALSE)</f>
        <v>3.6612</v>
      </c>
      <c r="K16" s="1">
        <f>VLOOKUP($B16&amp;"PD"&amp;State,Sheet5!$A$2:$I$295,8,FALSE)</f>
        <v>2596.0252</v>
      </c>
      <c r="M16" s="2">
        <f>VLOOKUP($B16&amp;"COMP"&amp;State,Sheet5!$A$2:$I$295,6,FALSE)</f>
        <v>79.771000000000001</v>
      </c>
      <c r="N16" s="2">
        <f>VLOOKUP($B16&amp;"COMP"&amp;State,Sheet5!$A$2:$I$295,7,FALSE)</f>
        <v>7.0679999999999996</v>
      </c>
      <c r="O16" s="1">
        <f>VLOOKUP($B16&amp;"COMP"&amp;State,Sheet5!$A$2:$I$295,8,FALSE)</f>
        <v>1128.6201000000001</v>
      </c>
      <c r="Q16" s="2">
        <f>VLOOKUP($B16&amp;"COLL"&amp;State,Sheet5!$A$2:$I$295,6,FALSE)</f>
        <v>171.1977</v>
      </c>
      <c r="R16" s="2">
        <f>VLOOKUP($B16&amp;"COLL"&amp;State,Sheet5!$A$2:$I$295,7,FALSE)</f>
        <v>5.8573000000000004</v>
      </c>
      <c r="S16" s="1">
        <f>VLOOKUP($B16&amp;"COLL"&amp;State,Sheet5!$A$2:$I$295,8,FALSE)</f>
        <v>2922.7891</v>
      </c>
      <c r="U16" s="2">
        <f>IF(PIP="","",IF($C$1=FALSE,"",VLOOKUP($B16&amp;"PIP"&amp;State,Sheet5!$A$2:$I$295,6,FALSE)))</f>
        <v>112.8856</v>
      </c>
      <c r="V16" s="2">
        <f>IF(PIP="","",IF($C$1=FALSE,"",VLOOKUP($B16&amp;"PIP"&amp;State,Sheet5!$A$2:$I$295,7,FALSE)))</f>
        <v>1.5851999999999999</v>
      </c>
      <c r="W16" s="1">
        <f>IF(PIP="","",IF($C$1=FALSE,"",VLOOKUP($B16&amp;"PIP"&amp;State,Sheet5!$A$2:$I$295,8,FALSE)))</f>
        <v>7121.0406000000003</v>
      </c>
      <c r="X16" s="2">
        <f>IF(PIP="","",IF($C$1=FALSE,"",VLOOKUP($B16&amp;"PIP"&amp;State,Sheet5!$A$2:$I$295,9,FALSE)))</f>
        <v>2.1838000000000002</v>
      </c>
      <c r="Z16" s="2" t="str">
        <f>IF(_PPI1="","",VLOOKUP($B16&amp;"PPI"&amp;State,Sheet5!$A$2:$I$295,6,FALSE))</f>
        <v/>
      </c>
      <c r="AA16" s="2" t="str">
        <f>IF(_PPI1="","",VLOOKUP($B16&amp;"PPI"&amp;State,Sheet5!$A$2:$I$295,7,FALSE))</f>
        <v/>
      </c>
      <c r="AB16" s="1" t="str">
        <f>IF(_PPI1="","",VLOOKUP($B16&amp;"PPI"&amp;State,Sheet5!$A$2:$I$295,8,FALSE))</f>
        <v/>
      </c>
      <c r="AF16" s="3"/>
    </row>
    <row r="17" spans="2:32" x14ac:dyDescent="0.2">
      <c r="B17" t="s">
        <v>706</v>
      </c>
      <c r="D17" s="2">
        <f>VLOOKUP($B17&amp;"BI"&amp;State,Sheet5!$A$2:$I$295,6,FALSE)</f>
        <v>105.3875</v>
      </c>
      <c r="E17" s="2">
        <f>VLOOKUP($B17&amp;"BI"&amp;State,Sheet5!$A$2:$I$295,7,FALSE)</f>
        <v>1.0266999999999999</v>
      </c>
      <c r="F17" s="1">
        <f>VLOOKUP($B17&amp;"BI"&amp;State,Sheet5!$A$2:$I$295,8,FALSE)</f>
        <v>10265.0708</v>
      </c>
      <c r="G17" s="2">
        <f>VLOOKUP($B17&amp;"BI"&amp;State,Sheet5!$A$2:$I$295,9,FALSE)</f>
        <v>1.4911000000000001</v>
      </c>
      <c r="I17" s="2">
        <f>VLOOKUP($B17&amp;"PD"&amp;State,Sheet5!$A$2:$I$295,6,FALSE)</f>
        <v>94.688800000000001</v>
      </c>
      <c r="J17" s="2">
        <f>VLOOKUP($B17&amp;"PD"&amp;State,Sheet5!$A$2:$I$295,7,FALSE)</f>
        <v>3.6122000000000001</v>
      </c>
      <c r="K17" s="1">
        <f>VLOOKUP($B17&amp;"PD"&amp;State,Sheet5!$A$2:$I$295,8,FALSE)</f>
        <v>2621.3735999999999</v>
      </c>
      <c r="M17" s="2">
        <f>VLOOKUP($B17&amp;"COMP"&amp;State,Sheet5!$A$2:$I$295,6,FALSE)</f>
        <v>82.232500000000002</v>
      </c>
      <c r="N17" s="2">
        <f>VLOOKUP($B17&amp;"COMP"&amp;State,Sheet5!$A$2:$I$295,7,FALSE)</f>
        <v>7.0042999999999997</v>
      </c>
      <c r="O17" s="1">
        <f>VLOOKUP($B17&amp;"COMP"&amp;State,Sheet5!$A$2:$I$295,8,FALSE)</f>
        <v>1174.0245</v>
      </c>
      <c r="Q17" s="2">
        <f>VLOOKUP($B17&amp;"COLL"&amp;State,Sheet5!$A$2:$I$295,6,FALSE)</f>
        <v>170.91650000000001</v>
      </c>
      <c r="R17" s="2">
        <f>VLOOKUP($B17&amp;"COLL"&amp;State,Sheet5!$A$2:$I$295,7,FALSE)</f>
        <v>5.7930999999999999</v>
      </c>
      <c r="S17" s="1">
        <f>VLOOKUP($B17&amp;"COLL"&amp;State,Sheet5!$A$2:$I$295,8,FALSE)</f>
        <v>2950.34</v>
      </c>
      <c r="U17" s="2">
        <f>IF(PIP="","",IF($C$1=FALSE,"",VLOOKUP($B17&amp;"PIP"&amp;State,Sheet5!$A$2:$I$295,6,FALSE)))</f>
        <v>111.3563</v>
      </c>
      <c r="V17" s="2">
        <f>IF(PIP="","",IF($C$1=FALSE,"",VLOOKUP($B17&amp;"PIP"&amp;State,Sheet5!$A$2:$I$295,7,FALSE)))</f>
        <v>1.5752999999999999</v>
      </c>
      <c r="W17" s="1">
        <f>IF(PIP="","",IF($C$1=FALSE,"",VLOOKUP($B17&amp;"PIP"&amp;State,Sheet5!$A$2:$I$295,8,FALSE)))</f>
        <v>7068.7565999999997</v>
      </c>
      <c r="X17" s="2">
        <f>IF(PIP="","",IF($C$1=FALSE,"",VLOOKUP($B17&amp;"PIP"&amp;State,Sheet5!$A$2:$I$295,9,FALSE)))</f>
        <v>2.1419999999999999</v>
      </c>
      <c r="Z17" s="2" t="str">
        <f>IF(_PPI1="","",VLOOKUP($B17&amp;"PPI"&amp;State,Sheet5!$A$2:$I$295,6,FALSE))</f>
        <v/>
      </c>
      <c r="AA17" s="2" t="str">
        <f>IF(_PPI1="","",VLOOKUP($B17&amp;"PPI"&amp;State,Sheet5!$A$2:$I$295,7,FALSE))</f>
        <v/>
      </c>
      <c r="AB17" s="1" t="str">
        <f>IF(_PPI1="","",VLOOKUP($B17&amp;"PPI"&amp;State,Sheet5!$A$2:$I$295,8,FALSE))</f>
        <v/>
      </c>
      <c r="AF17" s="3"/>
    </row>
    <row r="18" spans="2:32" x14ac:dyDescent="0.2">
      <c r="B18" t="s">
        <v>707</v>
      </c>
      <c r="D18" s="2">
        <f>VLOOKUP($B18&amp;"BI"&amp;State,Sheet5!$A$2:$I$295,6,FALSE)</f>
        <v>105.3883</v>
      </c>
      <c r="E18" s="2">
        <f>VLOOKUP($B18&amp;"BI"&amp;State,Sheet5!$A$2:$I$295,7,FALSE)</f>
        <v>1.0155000000000001</v>
      </c>
      <c r="F18" s="1">
        <f>VLOOKUP($B18&amp;"BI"&amp;State,Sheet5!$A$2:$I$295,8,FALSE)</f>
        <v>10377.5594</v>
      </c>
      <c r="G18" s="2">
        <f>VLOOKUP($B18&amp;"BI"&amp;State,Sheet5!$A$2:$I$295,9,FALSE)</f>
        <v>1.4670000000000001</v>
      </c>
      <c r="I18" s="2">
        <f>VLOOKUP($B18&amp;"PD"&amp;State,Sheet5!$A$2:$I$295,6,FALSE)</f>
        <v>94.121700000000004</v>
      </c>
      <c r="J18" s="2">
        <f>VLOOKUP($B18&amp;"PD"&amp;State,Sheet5!$A$2:$I$295,7,FALSE)</f>
        <v>3.5602999999999998</v>
      </c>
      <c r="K18" s="1">
        <f>VLOOKUP($B18&amp;"PD"&amp;State,Sheet5!$A$2:$I$295,8,FALSE)</f>
        <v>2643.6574999999998</v>
      </c>
      <c r="M18" s="2">
        <f>VLOOKUP($B18&amp;"COMP"&amp;State,Sheet5!$A$2:$I$295,6,FALSE)</f>
        <v>79.839299999999994</v>
      </c>
      <c r="N18" s="2">
        <f>VLOOKUP($B18&amp;"COMP"&amp;State,Sheet5!$A$2:$I$295,7,FALSE)</f>
        <v>6.7777000000000003</v>
      </c>
      <c r="O18" s="1">
        <f>VLOOKUP($B18&amp;"COMP"&amp;State,Sheet5!$A$2:$I$295,8,FALSE)</f>
        <v>1177.972</v>
      </c>
      <c r="Q18" s="2">
        <f>VLOOKUP($B18&amp;"COLL"&amp;State,Sheet5!$A$2:$I$295,6,FALSE)</f>
        <v>170.67089999999999</v>
      </c>
      <c r="R18" s="2">
        <f>VLOOKUP($B18&amp;"COLL"&amp;State,Sheet5!$A$2:$I$295,7,FALSE)</f>
        <v>5.7382999999999997</v>
      </c>
      <c r="S18" s="1">
        <f>VLOOKUP($B18&amp;"COLL"&amp;State,Sheet5!$A$2:$I$295,8,FALSE)</f>
        <v>2974.2435</v>
      </c>
      <c r="U18" s="2">
        <f>IF(PIP="","",IF($C$1=FALSE,"",VLOOKUP($B18&amp;"PIP"&amp;State,Sheet5!$A$2:$I$295,6,FALSE)))</f>
        <v>110.0459</v>
      </c>
      <c r="V18" s="2">
        <f>IF(PIP="","",IF($C$1=FALSE,"",VLOOKUP($B18&amp;"PIP"&amp;State,Sheet5!$A$2:$I$295,7,FALSE)))</f>
        <v>1.5297000000000001</v>
      </c>
      <c r="W18" s="1">
        <f>IF(PIP="","",IF($C$1=FALSE,"",VLOOKUP($B18&amp;"PIP"&amp;State,Sheet5!$A$2:$I$295,8,FALSE)))</f>
        <v>7194.0947999999999</v>
      </c>
      <c r="X18" s="2">
        <f>IF(PIP="","",IF($C$1=FALSE,"",VLOOKUP($B18&amp;"PIP"&amp;State,Sheet5!$A$2:$I$295,9,FALSE)))</f>
        <v>2.1114999999999999</v>
      </c>
      <c r="Z18" s="2" t="str">
        <f>IF(_PPI1="","",VLOOKUP($B18&amp;"PPI"&amp;State,Sheet5!$A$2:$I$295,6,FALSE))</f>
        <v/>
      </c>
      <c r="AA18" s="2" t="str">
        <f>IF(_PPI1="","",VLOOKUP($B18&amp;"PPI"&amp;State,Sheet5!$A$2:$I$295,7,FALSE))</f>
        <v/>
      </c>
      <c r="AB18" s="1" t="str">
        <f>IF(_PPI1="","",VLOOKUP($B18&amp;"PPI"&amp;State,Sheet5!$A$2:$I$295,8,FALSE))</f>
        <v/>
      </c>
      <c r="AF18" s="3"/>
    </row>
    <row r="19" spans="2:32" x14ac:dyDescent="0.2">
      <c r="B19" t="s">
        <v>708</v>
      </c>
      <c r="D19" s="2">
        <f>VLOOKUP($B19&amp;"BI"&amp;State,Sheet5!$A$2:$I$295,6,FALSE)</f>
        <v>106.6412</v>
      </c>
      <c r="E19" s="2">
        <f>VLOOKUP($B19&amp;"BI"&amp;State,Sheet5!$A$2:$I$295,7,FALSE)</f>
        <v>1.0124</v>
      </c>
      <c r="F19" s="1">
        <f>VLOOKUP($B19&amp;"BI"&amp;State,Sheet5!$A$2:$I$295,8,FALSE)</f>
        <v>10533.6037</v>
      </c>
      <c r="G19" s="2">
        <f>VLOOKUP($B19&amp;"BI"&amp;State,Sheet5!$A$2:$I$295,9,FALSE)</f>
        <v>1.4584999999999999</v>
      </c>
      <c r="I19" s="2">
        <f>VLOOKUP($B19&amp;"PD"&amp;State,Sheet5!$A$2:$I$295,6,FALSE)</f>
        <v>94.903800000000004</v>
      </c>
      <c r="J19" s="2">
        <f>VLOOKUP($B19&amp;"PD"&amp;State,Sheet5!$A$2:$I$295,7,FALSE)</f>
        <v>3.5659999999999998</v>
      </c>
      <c r="K19" s="1">
        <f>VLOOKUP($B19&amp;"PD"&amp;State,Sheet5!$A$2:$I$295,8,FALSE)</f>
        <v>2661.3263999999999</v>
      </c>
      <c r="M19" s="2">
        <f>VLOOKUP($B19&amp;"COMP"&amp;State,Sheet5!$A$2:$I$295,6,FALSE)</f>
        <v>69.982600000000005</v>
      </c>
      <c r="N19" s="2">
        <f>VLOOKUP($B19&amp;"COMP"&amp;State,Sheet5!$A$2:$I$295,7,FALSE)</f>
        <v>6.4633000000000003</v>
      </c>
      <c r="O19" s="1">
        <f>VLOOKUP($B19&amp;"COMP"&amp;State,Sheet5!$A$2:$I$295,8,FALSE)</f>
        <v>1082.7726</v>
      </c>
      <c r="Q19" s="2">
        <f>VLOOKUP($B19&amp;"COLL"&amp;State,Sheet5!$A$2:$I$295,6,FALSE)</f>
        <v>170.93819999999999</v>
      </c>
      <c r="R19" s="2">
        <f>VLOOKUP($B19&amp;"COLL"&amp;State,Sheet5!$A$2:$I$295,7,FALSE)</f>
        <v>5.7206000000000001</v>
      </c>
      <c r="S19" s="1">
        <f>VLOOKUP($B19&amp;"COLL"&amp;State,Sheet5!$A$2:$I$295,8,FALSE)</f>
        <v>2988.1224000000002</v>
      </c>
      <c r="U19" s="2">
        <f>IF(PIP="","",IF($C$1=FALSE,"",VLOOKUP($B19&amp;"PIP"&amp;State,Sheet5!$A$2:$I$295,6,FALSE)))</f>
        <v>110.38209999999999</v>
      </c>
      <c r="V19" s="2">
        <f>IF(PIP="","",IF($C$1=FALSE,"",VLOOKUP($B19&amp;"PIP"&amp;State,Sheet5!$A$2:$I$295,7,FALSE)))</f>
        <v>1.5004999999999999</v>
      </c>
      <c r="W19" s="1">
        <f>IF(PIP="","",IF($C$1=FALSE,"",VLOOKUP($B19&amp;"PIP"&amp;State,Sheet5!$A$2:$I$295,8,FALSE)))</f>
        <v>7356.4201999999996</v>
      </c>
      <c r="X19" s="2">
        <f>IF(PIP="","",IF($C$1=FALSE,"",VLOOKUP($B19&amp;"PIP"&amp;State,Sheet5!$A$2:$I$295,9,FALSE)))</f>
        <v>2.0954999999999999</v>
      </c>
      <c r="Z19" s="2" t="str">
        <f>IF(_PPI1="","",VLOOKUP($B19&amp;"PPI"&amp;State,Sheet5!$A$2:$I$295,6,FALSE))</f>
        <v/>
      </c>
      <c r="AA19" s="2" t="str">
        <f>IF(_PPI1="","",VLOOKUP($B19&amp;"PPI"&amp;State,Sheet5!$A$2:$I$295,7,FALSE))</f>
        <v/>
      </c>
      <c r="AB19" s="1" t="str">
        <f>IF(_PPI1="","",VLOOKUP($B19&amp;"PPI"&amp;State,Sheet5!$A$2:$I$295,8,FALSE))</f>
        <v/>
      </c>
      <c r="AF19" s="3"/>
    </row>
    <row r="20" spans="2:32" x14ac:dyDescent="0.2">
      <c r="B20" t="s">
        <v>709</v>
      </c>
      <c r="D20" s="2">
        <f>VLOOKUP($B20&amp;"BI"&amp;State,Sheet5!$A$2:$I$295,6,FALSE)</f>
        <v>106.7826</v>
      </c>
      <c r="E20" s="2">
        <f>VLOOKUP($B20&amp;"BI"&amp;State,Sheet5!$A$2:$I$295,7,FALSE)</f>
        <v>1.0007999999999999</v>
      </c>
      <c r="F20" s="1">
        <f>VLOOKUP($B20&amp;"BI"&amp;State,Sheet5!$A$2:$I$295,8,FALSE)</f>
        <v>10669.364100000001</v>
      </c>
      <c r="G20" s="2">
        <f>VLOOKUP($B20&amp;"BI"&amp;State,Sheet5!$A$2:$I$295,9,FALSE)</f>
        <v>1.4400999999999999</v>
      </c>
      <c r="I20" s="2">
        <f>VLOOKUP($B20&amp;"PD"&amp;State,Sheet5!$A$2:$I$295,6,FALSE)</f>
        <v>95.325999999999993</v>
      </c>
      <c r="J20" s="2">
        <f>VLOOKUP($B20&amp;"PD"&amp;State,Sheet5!$A$2:$I$295,7,FALSE)</f>
        <v>3.5567000000000002</v>
      </c>
      <c r="K20" s="1">
        <f>VLOOKUP($B20&amp;"PD"&amp;State,Sheet5!$A$2:$I$295,8,FALSE)</f>
        <v>2680.1676000000002</v>
      </c>
      <c r="M20" s="2">
        <f>VLOOKUP($B20&amp;"COMP"&amp;State,Sheet5!$A$2:$I$295,6,FALSE)</f>
        <v>68.415400000000005</v>
      </c>
      <c r="N20" s="2">
        <f>VLOOKUP($B20&amp;"COMP"&amp;State,Sheet5!$A$2:$I$295,7,FALSE)</f>
        <v>6.3038999999999996</v>
      </c>
      <c r="O20" s="1">
        <f>VLOOKUP($B20&amp;"COMP"&amp;State,Sheet5!$A$2:$I$295,8,FALSE)</f>
        <v>1085.2955999999999</v>
      </c>
      <c r="Q20" s="2">
        <f>VLOOKUP($B20&amp;"COLL"&amp;State,Sheet5!$A$2:$I$295,6,FALSE)</f>
        <v>172.37190000000001</v>
      </c>
      <c r="R20" s="2">
        <f>VLOOKUP($B20&amp;"COLL"&amp;State,Sheet5!$A$2:$I$295,7,FALSE)</f>
        <v>5.7619999999999996</v>
      </c>
      <c r="S20" s="1">
        <f>VLOOKUP($B20&amp;"COLL"&amp;State,Sheet5!$A$2:$I$295,8,FALSE)</f>
        <v>2991.5041999999999</v>
      </c>
      <c r="U20" s="2">
        <f>IF(PIP="","",IF($C$1=FALSE,"",VLOOKUP($B20&amp;"PIP"&amp;State,Sheet5!$A$2:$I$295,6,FALSE)))</f>
        <v>110.13630000000001</v>
      </c>
      <c r="V20" s="2">
        <f>IF(PIP="","",IF($C$1=FALSE,"",VLOOKUP($B20&amp;"PIP"&amp;State,Sheet5!$A$2:$I$295,7,FALSE)))</f>
        <v>1.4743999999999999</v>
      </c>
      <c r="W20" s="1">
        <f>IF(PIP="","",IF($C$1=FALSE,"",VLOOKUP($B20&amp;"PIP"&amp;State,Sheet5!$A$2:$I$295,8,FALSE)))</f>
        <v>7469.6867000000002</v>
      </c>
      <c r="X20" s="2">
        <f>IF(PIP="","",IF($C$1=FALSE,"",VLOOKUP($B20&amp;"PIP"&amp;State,Sheet5!$A$2:$I$295,9,FALSE)))</f>
        <v>2.0966</v>
      </c>
      <c r="Z20" s="2" t="str">
        <f>IF(_PPI1="","",VLOOKUP($B20&amp;"PPI"&amp;State,Sheet5!$A$2:$I$295,6,FALSE))</f>
        <v/>
      </c>
      <c r="AA20" s="2" t="str">
        <f>IF(_PPI1="","",VLOOKUP($B20&amp;"PPI"&amp;State,Sheet5!$A$2:$I$295,7,FALSE))</f>
        <v/>
      </c>
      <c r="AB20" s="1" t="str">
        <f>IF(_PPI1="","",VLOOKUP($B20&amp;"PPI"&amp;State,Sheet5!$A$2:$I$295,8,FALSE))</f>
        <v/>
      </c>
      <c r="AF20" s="3"/>
    </row>
    <row r="21" spans="2:32" x14ac:dyDescent="0.2">
      <c r="B21" t="s">
        <v>710</v>
      </c>
      <c r="D21" s="2">
        <f>VLOOKUP($B21&amp;"BI"&amp;State,Sheet5!$A$2:$I$295,6,FALSE)</f>
        <v>107.0685</v>
      </c>
      <c r="E21" s="2">
        <f>VLOOKUP($B21&amp;"BI"&amp;State,Sheet5!$A$2:$I$295,7,FALSE)</f>
        <v>0.98929999999999996</v>
      </c>
      <c r="F21" s="1">
        <f>VLOOKUP($B21&amp;"BI"&amp;State,Sheet5!$A$2:$I$295,8,FALSE)</f>
        <v>10822.660099999999</v>
      </c>
      <c r="G21" s="2">
        <f>VLOOKUP($B21&amp;"BI"&amp;State,Sheet5!$A$2:$I$295,9,FALSE)</f>
        <v>1.4198</v>
      </c>
      <c r="I21" s="2">
        <f>VLOOKUP($B21&amp;"PD"&amp;State,Sheet5!$A$2:$I$295,6,FALSE)</f>
        <v>96.226799999999997</v>
      </c>
      <c r="J21" s="2">
        <f>VLOOKUP($B21&amp;"PD"&amp;State,Sheet5!$A$2:$I$295,7,FALSE)</f>
        <v>3.5726</v>
      </c>
      <c r="K21" s="1">
        <f>VLOOKUP($B21&amp;"PD"&amp;State,Sheet5!$A$2:$I$295,8,FALSE)</f>
        <v>2693.4416999999999</v>
      </c>
      <c r="M21" s="2">
        <f>VLOOKUP($B21&amp;"COMP"&amp;State,Sheet5!$A$2:$I$295,6,FALSE)</f>
        <v>65.149500000000003</v>
      </c>
      <c r="N21" s="2">
        <f>VLOOKUP($B21&amp;"COMP"&amp;State,Sheet5!$A$2:$I$295,7,FALSE)</f>
        <v>6.1162999999999998</v>
      </c>
      <c r="O21" s="1">
        <f>VLOOKUP($B21&amp;"COMP"&amp;State,Sheet5!$A$2:$I$295,8,FALSE)</f>
        <v>1065.1863000000001</v>
      </c>
      <c r="Q21" s="2">
        <f>VLOOKUP($B21&amp;"COLL"&amp;State,Sheet5!$A$2:$I$295,6,FALSE)</f>
        <v>173.3929</v>
      </c>
      <c r="R21" s="2">
        <f>VLOOKUP($B21&amp;"COLL"&amp;State,Sheet5!$A$2:$I$295,7,FALSE)</f>
        <v>5.8045</v>
      </c>
      <c r="S21" s="1">
        <f>VLOOKUP($B21&amp;"COLL"&amp;State,Sheet5!$A$2:$I$295,8,FALSE)</f>
        <v>2987.1905000000002</v>
      </c>
      <c r="U21" s="2">
        <f>IF(PIP="","",IF($C$1=FALSE,"",VLOOKUP($B21&amp;"PIP"&amp;State,Sheet5!$A$2:$I$295,6,FALSE)))</f>
        <v>110.1534</v>
      </c>
      <c r="V21" s="2">
        <f>IF(PIP="","",IF($C$1=FALSE,"",VLOOKUP($B21&amp;"PIP"&amp;State,Sheet5!$A$2:$I$295,7,FALSE)))</f>
        <v>1.4558</v>
      </c>
      <c r="W21" s="1">
        <f>IF(PIP="","",IF($C$1=FALSE,"",VLOOKUP($B21&amp;"PIP"&amp;State,Sheet5!$A$2:$I$295,8,FALSE)))</f>
        <v>7566.6692999999996</v>
      </c>
      <c r="X21" s="2">
        <f>IF(PIP="","",IF($C$1=FALSE,"",VLOOKUP($B21&amp;"PIP"&amp;State,Sheet5!$A$2:$I$295,9,FALSE)))</f>
        <v>2.0893999999999999</v>
      </c>
      <c r="Z21" s="2" t="str">
        <f>IF(_PPI1="","",VLOOKUP($B21&amp;"PPI"&amp;State,Sheet5!$A$2:$I$295,6,FALSE))</f>
        <v/>
      </c>
      <c r="AA21" s="2" t="str">
        <f>IF(_PPI1="","",VLOOKUP($B21&amp;"PPI"&amp;State,Sheet5!$A$2:$I$295,7,FALSE))</f>
        <v/>
      </c>
      <c r="AB21" s="1" t="str">
        <f>IF(_PPI1="","",VLOOKUP($B21&amp;"PPI"&amp;State,Sheet5!$A$2:$I$295,8,FALSE))</f>
        <v/>
      </c>
      <c r="AF21" s="3"/>
    </row>
    <row r="22" spans="2:32" x14ac:dyDescent="0.2">
      <c r="B22" t="s">
        <v>711</v>
      </c>
      <c r="D22" s="2">
        <f>VLOOKUP($B22&amp;"BI"&amp;State,Sheet5!$A$2:$I$295,6,FALSE)</f>
        <v>107.44799999999999</v>
      </c>
      <c r="E22" s="2">
        <f>VLOOKUP($B22&amp;"BI"&amp;State,Sheet5!$A$2:$I$295,7,FALSE)</f>
        <v>0.97760000000000002</v>
      </c>
      <c r="F22" s="1">
        <f>VLOOKUP($B22&amp;"BI"&amp;State,Sheet5!$A$2:$I$295,8,FALSE)</f>
        <v>10991.5401</v>
      </c>
      <c r="G22" s="2">
        <f>VLOOKUP($B22&amp;"BI"&amp;State,Sheet5!$A$2:$I$295,9,FALSE)</f>
        <v>1.4053</v>
      </c>
      <c r="I22" s="2">
        <f>VLOOKUP($B22&amp;"PD"&amp;State,Sheet5!$A$2:$I$295,6,FALSE)</f>
        <v>97.008300000000006</v>
      </c>
      <c r="J22" s="2">
        <f>VLOOKUP($B22&amp;"PD"&amp;State,Sheet5!$A$2:$I$295,7,FALSE)</f>
        <v>3.5806</v>
      </c>
      <c r="K22" s="1">
        <f>VLOOKUP($B22&amp;"PD"&amp;State,Sheet5!$A$2:$I$295,8,FALSE)</f>
        <v>2709.2847000000002</v>
      </c>
      <c r="M22" s="2">
        <f>VLOOKUP($B22&amp;"COMP"&amp;State,Sheet5!$A$2:$I$295,6,FALSE)</f>
        <v>65.288700000000006</v>
      </c>
      <c r="N22" s="2">
        <f>VLOOKUP($B22&amp;"COMP"&amp;State,Sheet5!$A$2:$I$295,7,FALSE)</f>
        <v>6.0904999999999996</v>
      </c>
      <c r="O22" s="1">
        <f>VLOOKUP($B22&amp;"COMP"&amp;State,Sheet5!$A$2:$I$295,8,FALSE)</f>
        <v>1071.9786999999999</v>
      </c>
      <c r="Q22" s="2">
        <f>VLOOKUP($B22&amp;"COLL"&amp;State,Sheet5!$A$2:$I$295,6,FALSE)</f>
        <v>174.08940000000001</v>
      </c>
      <c r="R22" s="2">
        <f>VLOOKUP($B22&amp;"COLL"&amp;State,Sheet5!$A$2:$I$295,7,FALSE)</f>
        <v>5.8228</v>
      </c>
      <c r="S22" s="1">
        <f>VLOOKUP($B22&amp;"COLL"&amp;State,Sheet5!$A$2:$I$295,8,FALSE)</f>
        <v>2989.7838999999999</v>
      </c>
      <c r="U22" s="2">
        <f>IF(PIP="","",IF($C$1=FALSE,"",VLOOKUP($B22&amp;"PIP"&amp;State,Sheet5!$A$2:$I$295,6,FALSE)))</f>
        <v>110.9465</v>
      </c>
      <c r="V22" s="2">
        <f>IF(PIP="","",IF($C$1=FALSE,"",VLOOKUP($B22&amp;"PIP"&amp;State,Sheet5!$A$2:$I$295,7,FALSE)))</f>
        <v>1.4426000000000001</v>
      </c>
      <c r="W22" s="1">
        <f>IF(PIP="","",IF($C$1=FALSE,"",VLOOKUP($B22&amp;"PIP"&amp;State,Sheet5!$A$2:$I$295,8,FALSE)))</f>
        <v>7690.8944000000001</v>
      </c>
      <c r="X22" s="2">
        <f>IF(PIP="","",IF($C$1=FALSE,"",VLOOKUP($B22&amp;"PIP"&amp;State,Sheet5!$A$2:$I$295,9,FALSE)))</f>
        <v>2.0872999999999999</v>
      </c>
      <c r="Z22" s="2" t="str">
        <f>IF(_PPI1="","",VLOOKUP($B22&amp;"PPI"&amp;State,Sheet5!$A$2:$I$295,6,FALSE))</f>
        <v/>
      </c>
      <c r="AA22" s="2" t="str">
        <f>IF(_PPI1="","",VLOOKUP($B22&amp;"PPI"&amp;State,Sheet5!$A$2:$I$295,7,FALSE))</f>
        <v/>
      </c>
      <c r="AB22" s="1" t="str">
        <f>IF(_PPI1="","",VLOOKUP($B22&amp;"PPI"&amp;State,Sheet5!$A$2:$I$295,8,FALSE))</f>
        <v/>
      </c>
      <c r="AF22" s="3"/>
    </row>
    <row r="23" spans="2:32" x14ac:dyDescent="0.2">
      <c r="B23" t="s">
        <v>712</v>
      </c>
      <c r="D23" s="2">
        <f>VLOOKUP($B23&amp;"BI"&amp;State,Sheet5!$A$2:$I$295,6,FALSE)</f>
        <v>107.74460000000001</v>
      </c>
      <c r="E23" s="2">
        <f>VLOOKUP($B23&amp;"BI"&amp;State,Sheet5!$A$2:$I$295,7,FALSE)</f>
        <v>0.96479999999999999</v>
      </c>
      <c r="F23" s="1">
        <f>VLOOKUP($B23&amp;"BI"&amp;State,Sheet5!$A$2:$I$295,8,FALSE)</f>
        <v>11168.0149</v>
      </c>
      <c r="G23" s="2">
        <f>VLOOKUP($B23&amp;"BI"&amp;State,Sheet5!$A$2:$I$295,9,FALSE)</f>
        <v>1.3851</v>
      </c>
      <c r="I23" s="2">
        <f>VLOOKUP($B23&amp;"PD"&amp;State,Sheet5!$A$2:$I$295,6,FALSE)</f>
        <v>97.638800000000003</v>
      </c>
      <c r="J23" s="2">
        <f>VLOOKUP($B23&amp;"PD"&amp;State,Sheet5!$A$2:$I$295,7,FALSE)</f>
        <v>3.5918000000000001</v>
      </c>
      <c r="K23" s="1">
        <f>VLOOKUP($B23&amp;"PD"&amp;State,Sheet5!$A$2:$I$295,8,FALSE)</f>
        <v>2718.3508000000002</v>
      </c>
      <c r="M23" s="2">
        <f>VLOOKUP($B23&amp;"COMP"&amp;State,Sheet5!$A$2:$I$295,6,FALSE)</f>
        <v>64.5869</v>
      </c>
      <c r="N23" s="2">
        <f>VLOOKUP($B23&amp;"COMP"&amp;State,Sheet5!$A$2:$I$295,7,FALSE)</f>
        <v>6.0442999999999998</v>
      </c>
      <c r="O23" s="1">
        <f>VLOOKUP($B23&amp;"COMP"&amp;State,Sheet5!$A$2:$I$295,8,FALSE)</f>
        <v>1068.5542</v>
      </c>
      <c r="Q23" s="2">
        <f>VLOOKUP($B23&amp;"COLL"&amp;State,Sheet5!$A$2:$I$295,6,FALSE)</f>
        <v>175.10300000000001</v>
      </c>
      <c r="R23" s="2">
        <f>VLOOKUP($B23&amp;"COLL"&amp;State,Sheet5!$A$2:$I$295,7,FALSE)</f>
        <v>5.8567</v>
      </c>
      <c r="S23" s="1">
        <f>VLOOKUP($B23&amp;"COLL"&amp;State,Sheet5!$A$2:$I$295,8,FALSE)</f>
        <v>2989.7640000000001</v>
      </c>
      <c r="U23" s="2">
        <f>IF(PIP="","",IF($C$1=FALSE,"",VLOOKUP($B23&amp;"PIP"&amp;State,Sheet5!$A$2:$I$295,6,FALSE)))</f>
        <v>113.50149999999999</v>
      </c>
      <c r="V23" s="2">
        <f>IF(PIP="","",IF($C$1=FALSE,"",VLOOKUP($B23&amp;"PIP"&amp;State,Sheet5!$A$2:$I$295,7,FALSE)))</f>
        <v>1.4534</v>
      </c>
      <c r="W23" s="1">
        <f>IF(PIP="","",IF($C$1=FALSE,"",VLOOKUP($B23&amp;"PIP"&amp;State,Sheet5!$A$2:$I$295,8,FALSE)))</f>
        <v>7809.4979999999996</v>
      </c>
      <c r="X23" s="2">
        <f>IF(PIP="","",IF($C$1=FALSE,"",VLOOKUP($B23&amp;"PIP"&amp;State,Sheet5!$A$2:$I$295,9,FALSE)))</f>
        <v>2.1072000000000002</v>
      </c>
      <c r="Z23" s="2" t="str">
        <f>IF(_PPI1="","",VLOOKUP($B23&amp;"PPI"&amp;State,Sheet5!$A$2:$I$295,6,FALSE))</f>
        <v/>
      </c>
      <c r="AA23" s="2" t="str">
        <f>IF(_PPI1="","",VLOOKUP($B23&amp;"PPI"&amp;State,Sheet5!$A$2:$I$295,7,FALSE))</f>
        <v/>
      </c>
      <c r="AB23" s="1" t="str">
        <f>IF(_PPI1="","",VLOOKUP($B23&amp;"PPI"&amp;State,Sheet5!$A$2:$I$295,8,FALSE))</f>
        <v/>
      </c>
      <c r="AF23" s="3"/>
    </row>
    <row r="24" spans="2:32" x14ac:dyDescent="0.2">
      <c r="B24" t="s">
        <v>713</v>
      </c>
      <c r="D24" s="2">
        <f>VLOOKUP($B24&amp;"BI"&amp;State,Sheet5!$A$2:$I$295,6,FALSE)</f>
        <v>107.98260000000001</v>
      </c>
      <c r="E24" s="2">
        <f>VLOOKUP($B24&amp;"BI"&amp;State,Sheet5!$A$2:$I$295,7,FALSE)</f>
        <v>0.95269999999999999</v>
      </c>
      <c r="F24" s="1">
        <f>VLOOKUP($B24&amp;"BI"&amp;State,Sheet5!$A$2:$I$295,8,FALSE)</f>
        <v>11334.643899999999</v>
      </c>
      <c r="G24" s="2">
        <f>VLOOKUP($B24&amp;"BI"&amp;State,Sheet5!$A$2:$I$295,9,FALSE)</f>
        <v>1.3627</v>
      </c>
      <c r="I24" s="2">
        <f>VLOOKUP($B24&amp;"PD"&amp;State,Sheet5!$A$2:$I$295,6,FALSE)</f>
        <v>98.066100000000006</v>
      </c>
      <c r="J24" s="2">
        <f>VLOOKUP($B24&amp;"PD"&amp;State,Sheet5!$A$2:$I$295,7,FALSE)</f>
        <v>3.5865</v>
      </c>
      <c r="K24" s="1">
        <f>VLOOKUP($B24&amp;"PD"&amp;State,Sheet5!$A$2:$I$295,8,FALSE)</f>
        <v>2734.3312000000001</v>
      </c>
      <c r="M24" s="2">
        <f>VLOOKUP($B24&amp;"COMP"&amp;State,Sheet5!$A$2:$I$295,6,FALSE)</f>
        <v>65.347800000000007</v>
      </c>
      <c r="N24" s="2">
        <f>VLOOKUP($B24&amp;"COMP"&amp;State,Sheet5!$A$2:$I$295,7,FALSE)</f>
        <v>6.0420999999999996</v>
      </c>
      <c r="O24" s="1">
        <f>VLOOKUP($B24&amp;"COMP"&amp;State,Sheet5!$A$2:$I$295,8,FALSE)</f>
        <v>1081.5400999999999</v>
      </c>
      <c r="Q24" s="2">
        <f>VLOOKUP($B24&amp;"COLL"&amp;State,Sheet5!$A$2:$I$295,6,FALSE)</f>
        <v>176.67670000000001</v>
      </c>
      <c r="R24" s="2">
        <f>VLOOKUP($B24&amp;"COLL"&amp;State,Sheet5!$A$2:$I$295,7,FALSE)</f>
        <v>5.8609999999999998</v>
      </c>
      <c r="S24" s="1">
        <f>VLOOKUP($B24&amp;"COLL"&amp;State,Sheet5!$A$2:$I$295,8,FALSE)</f>
        <v>3014.4411</v>
      </c>
      <c r="U24" s="2">
        <f>IF(PIP="","",IF($C$1=FALSE,"",VLOOKUP($B24&amp;"PIP"&amp;State,Sheet5!$A$2:$I$295,6,FALSE)))</f>
        <v>112.5445</v>
      </c>
      <c r="V24" s="2">
        <f>IF(PIP="","",IF($C$1=FALSE,"",VLOOKUP($B24&amp;"PIP"&amp;State,Sheet5!$A$2:$I$295,7,FALSE)))</f>
        <v>1.4289000000000001</v>
      </c>
      <c r="W24" s="1">
        <f>IF(PIP="","",IF($C$1=FALSE,"",VLOOKUP($B24&amp;"PIP"&amp;State,Sheet5!$A$2:$I$295,8,FALSE)))</f>
        <v>7876.5419000000002</v>
      </c>
      <c r="X24" s="2">
        <f>IF(PIP="","",IF($C$1=FALSE,"",VLOOKUP($B24&amp;"PIP"&amp;State,Sheet5!$A$2:$I$295,9,FALSE)))</f>
        <v>2.0865</v>
      </c>
      <c r="Z24" s="2" t="str">
        <f>IF(_PPI1="","",VLOOKUP($B24&amp;"PPI"&amp;State,Sheet5!$A$2:$I$295,6,FALSE))</f>
        <v/>
      </c>
      <c r="AA24" s="2" t="str">
        <f>IF(_PPI1="","",VLOOKUP($B24&amp;"PPI"&amp;State,Sheet5!$A$2:$I$295,7,FALSE))</f>
        <v/>
      </c>
      <c r="AB24" s="1" t="str">
        <f>IF(_PPI1="","",VLOOKUP($B24&amp;"PPI"&amp;State,Sheet5!$A$2:$I$295,8,FALSE))</f>
        <v/>
      </c>
      <c r="AF24" s="3"/>
    </row>
    <row r="25" spans="2:32" x14ac:dyDescent="0.2">
      <c r="B25" t="s">
        <v>714</v>
      </c>
      <c r="D25" s="2">
        <f>VLOOKUP($B25&amp;"BI"&amp;State,Sheet5!$A$2:$I$295,6,FALSE)</f>
        <v>108.5564</v>
      </c>
      <c r="E25" s="2">
        <f>VLOOKUP($B25&amp;"BI"&amp;State,Sheet5!$A$2:$I$295,7,FALSE)</f>
        <v>0.94569999999999999</v>
      </c>
      <c r="F25" s="1">
        <f>VLOOKUP($B25&amp;"BI"&amp;State,Sheet5!$A$2:$I$295,8,FALSE)</f>
        <v>11479.295099999999</v>
      </c>
      <c r="G25" s="2">
        <f>VLOOKUP($B25&amp;"BI"&amp;State,Sheet5!$A$2:$I$295,9,FALSE)</f>
        <v>1.3358000000000001</v>
      </c>
      <c r="I25" s="2">
        <f>VLOOKUP($B25&amp;"PD"&amp;State,Sheet5!$A$2:$I$295,6,FALSE)</f>
        <v>97.949600000000004</v>
      </c>
      <c r="J25" s="2">
        <f>VLOOKUP($B25&amp;"PD"&amp;State,Sheet5!$A$2:$I$295,7,FALSE)</f>
        <v>3.5642</v>
      </c>
      <c r="K25" s="1">
        <f>VLOOKUP($B25&amp;"PD"&amp;State,Sheet5!$A$2:$I$295,8,FALSE)</f>
        <v>2748.1767</v>
      </c>
      <c r="M25" s="2">
        <f>VLOOKUP($B25&amp;"COMP"&amp;State,Sheet5!$A$2:$I$295,6,FALSE)</f>
        <v>70.239699999999999</v>
      </c>
      <c r="N25" s="2">
        <f>VLOOKUP($B25&amp;"COMP"&amp;State,Sheet5!$A$2:$I$295,7,FALSE)</f>
        <v>6.1711</v>
      </c>
      <c r="O25" s="1">
        <f>VLOOKUP($B25&amp;"COMP"&amp;State,Sheet5!$A$2:$I$295,8,FALSE)</f>
        <v>1138.2030999999999</v>
      </c>
      <c r="Q25" s="2">
        <f>VLOOKUP($B25&amp;"COLL"&amp;State,Sheet5!$A$2:$I$295,6,FALSE)</f>
        <v>175.4863</v>
      </c>
      <c r="R25" s="2">
        <f>VLOOKUP($B25&amp;"COLL"&amp;State,Sheet5!$A$2:$I$295,7,FALSE)</f>
        <v>5.8341000000000003</v>
      </c>
      <c r="S25" s="1">
        <f>VLOOKUP($B25&amp;"COLL"&amp;State,Sheet5!$A$2:$I$295,8,FALSE)</f>
        <v>3007.9623999999999</v>
      </c>
      <c r="U25" s="2">
        <f>IF(PIP="","",IF($C$1=FALSE,"",VLOOKUP($B25&amp;"PIP"&amp;State,Sheet5!$A$2:$I$295,6,FALSE)))</f>
        <v>113.047</v>
      </c>
      <c r="V25" s="2">
        <f>IF(PIP="","",IF($C$1=FALSE,"",VLOOKUP($B25&amp;"PIP"&amp;State,Sheet5!$A$2:$I$295,7,FALSE)))</f>
        <v>1.3983000000000001</v>
      </c>
      <c r="W25" s="1">
        <f>IF(PIP="","",IF($C$1=FALSE,"",VLOOKUP($B25&amp;"PIP"&amp;State,Sheet5!$A$2:$I$295,8,FALSE)))</f>
        <v>8084.3540999999996</v>
      </c>
      <c r="X25" s="2">
        <f>IF(PIP="","",IF($C$1=FALSE,"",VLOOKUP($B25&amp;"PIP"&amp;State,Sheet5!$A$2:$I$295,9,FALSE)))</f>
        <v>2.0636000000000001</v>
      </c>
      <c r="Z25" s="2" t="str">
        <f>IF(_PPI1="","",VLOOKUP($B25&amp;"PPI"&amp;State,Sheet5!$A$2:$I$295,6,FALSE))</f>
        <v/>
      </c>
      <c r="AA25" s="2" t="str">
        <f>IF(_PPI1="","",VLOOKUP($B25&amp;"PPI"&amp;State,Sheet5!$A$2:$I$295,7,FALSE))</f>
        <v/>
      </c>
      <c r="AB25" s="1" t="str">
        <f>IF(_PPI1="","",VLOOKUP($B25&amp;"PPI"&amp;State,Sheet5!$A$2:$I$295,8,FALSE))</f>
        <v/>
      </c>
      <c r="AF25" s="3"/>
    </row>
    <row r="26" spans="2:32" x14ac:dyDescent="0.2">
      <c r="B26" t="s">
        <v>715</v>
      </c>
      <c r="D26" s="2">
        <f>VLOOKUP($B26&amp;"BI"&amp;State,Sheet5!$A$2:$I$295,6,FALSE)</f>
        <v>109.14319999999999</v>
      </c>
      <c r="E26" s="2">
        <f>VLOOKUP($B26&amp;"BI"&amp;State,Sheet5!$A$2:$I$295,7,FALSE)</f>
        <v>0.93710000000000004</v>
      </c>
      <c r="F26" s="1">
        <f>VLOOKUP($B26&amp;"BI"&amp;State,Sheet5!$A$2:$I$295,8,FALSE)</f>
        <v>11647.1523</v>
      </c>
      <c r="G26" s="2">
        <f>VLOOKUP($B26&amp;"BI"&amp;State,Sheet5!$A$2:$I$295,9,FALSE)</f>
        <v>1.3012999999999999</v>
      </c>
      <c r="I26" s="2">
        <f>VLOOKUP($B26&amp;"PD"&amp;State,Sheet5!$A$2:$I$295,6,FALSE)</f>
        <v>97.386799999999994</v>
      </c>
      <c r="J26" s="2">
        <f>VLOOKUP($B26&amp;"PD"&amp;State,Sheet5!$A$2:$I$295,7,FALSE)</f>
        <v>3.5312999999999999</v>
      </c>
      <c r="K26" s="1">
        <f>VLOOKUP($B26&amp;"PD"&amp;State,Sheet5!$A$2:$I$295,8,FALSE)</f>
        <v>2757.79</v>
      </c>
      <c r="M26" s="2">
        <f>VLOOKUP($B26&amp;"COMP"&amp;State,Sheet5!$A$2:$I$295,6,FALSE)</f>
        <v>72.537899999999993</v>
      </c>
      <c r="N26" s="2">
        <f>VLOOKUP($B26&amp;"COMP"&amp;State,Sheet5!$A$2:$I$295,7,FALSE)</f>
        <v>6.1943000000000001</v>
      </c>
      <c r="O26" s="1">
        <f>VLOOKUP($B26&amp;"COMP"&amp;State,Sheet5!$A$2:$I$295,8,FALSE)</f>
        <v>1171.0342000000001</v>
      </c>
      <c r="Q26" s="2">
        <f>VLOOKUP($B26&amp;"COLL"&amp;State,Sheet5!$A$2:$I$295,6,FALSE)</f>
        <v>173.1387</v>
      </c>
      <c r="R26" s="2">
        <f>VLOOKUP($B26&amp;"COLL"&amp;State,Sheet5!$A$2:$I$295,7,FALSE)</f>
        <v>5.7828999999999997</v>
      </c>
      <c r="S26" s="1">
        <f>VLOOKUP($B26&amp;"COLL"&amp;State,Sheet5!$A$2:$I$295,8,FALSE)</f>
        <v>2993.9976000000001</v>
      </c>
      <c r="U26" s="2">
        <f>IF(PIP="","",IF($C$1=FALSE,"",VLOOKUP($B26&amp;"PIP"&amp;State,Sheet5!$A$2:$I$295,6,FALSE)))</f>
        <v>113.2924</v>
      </c>
      <c r="V26" s="2">
        <f>IF(PIP="","",IF($C$1=FALSE,"",VLOOKUP($B26&amp;"PIP"&amp;State,Sheet5!$A$2:$I$295,7,FALSE)))</f>
        <v>1.3779999999999999</v>
      </c>
      <c r="W26" s="1">
        <f>IF(PIP="","",IF($C$1=FALSE,"",VLOOKUP($B26&amp;"PIP"&amp;State,Sheet5!$A$2:$I$295,8,FALSE)))</f>
        <v>8221.4617999999991</v>
      </c>
      <c r="X26" s="2">
        <f>IF(PIP="","",IF($C$1=FALSE,"",VLOOKUP($B26&amp;"PIP"&amp;State,Sheet5!$A$2:$I$295,9,FALSE)))</f>
        <v>2.0358000000000001</v>
      </c>
      <c r="Z26" s="2" t="str">
        <f>IF(_PPI1="","",VLOOKUP($B26&amp;"PPI"&amp;State,Sheet5!$A$2:$I$295,6,FALSE))</f>
        <v/>
      </c>
      <c r="AA26" s="2" t="str">
        <f>IF(_PPI1="","",VLOOKUP($B26&amp;"PPI"&amp;State,Sheet5!$A$2:$I$295,7,FALSE))</f>
        <v/>
      </c>
      <c r="AB26" s="1" t="str">
        <f>IF(_PPI1="","",VLOOKUP($B26&amp;"PPI"&amp;State,Sheet5!$A$2:$I$295,8,FALSE))</f>
        <v/>
      </c>
      <c r="AF26" s="3"/>
    </row>
    <row r="27" spans="2:32" x14ac:dyDescent="0.2">
      <c r="B27" t="s">
        <v>716</v>
      </c>
      <c r="D27" s="2">
        <f>VLOOKUP($B27&amp;"BI"&amp;State,Sheet5!$A$2:$I$295,6,FALSE)</f>
        <v>109.74590000000001</v>
      </c>
      <c r="E27" s="2">
        <f>VLOOKUP($B27&amp;"BI"&amp;State,Sheet5!$A$2:$I$295,7,FALSE)</f>
        <v>0.9264</v>
      </c>
      <c r="F27" s="1">
        <f>VLOOKUP($B27&amp;"BI"&amp;State,Sheet5!$A$2:$I$295,8,FALSE)</f>
        <v>11845.919599999999</v>
      </c>
      <c r="G27" s="2">
        <f>VLOOKUP($B27&amp;"BI"&amp;State,Sheet5!$A$2:$I$295,9,FALSE)</f>
        <v>1.2733000000000001</v>
      </c>
      <c r="I27" s="2">
        <f>VLOOKUP($B27&amp;"PD"&amp;State,Sheet5!$A$2:$I$295,6,FALSE)</f>
        <v>96.2286</v>
      </c>
      <c r="J27" s="2">
        <f>VLOOKUP($B27&amp;"PD"&amp;State,Sheet5!$A$2:$I$295,7,FALSE)</f>
        <v>3.4691999999999998</v>
      </c>
      <c r="K27" s="1">
        <f>VLOOKUP($B27&amp;"PD"&amp;State,Sheet5!$A$2:$I$295,8,FALSE)</f>
        <v>2773.7855</v>
      </c>
      <c r="M27" s="2">
        <f>VLOOKUP($B27&amp;"COMP"&amp;State,Sheet5!$A$2:$I$295,6,FALSE)</f>
        <v>73.972800000000007</v>
      </c>
      <c r="N27" s="2">
        <f>VLOOKUP($B27&amp;"COMP"&amp;State,Sheet5!$A$2:$I$295,7,FALSE)</f>
        <v>6.1424000000000003</v>
      </c>
      <c r="O27" s="1">
        <f>VLOOKUP($B27&amp;"COMP"&amp;State,Sheet5!$A$2:$I$295,8,FALSE)</f>
        <v>1204.2996000000001</v>
      </c>
      <c r="Q27" s="2">
        <f>VLOOKUP($B27&amp;"COLL"&amp;State,Sheet5!$A$2:$I$295,6,FALSE)</f>
        <v>171.40819999999999</v>
      </c>
      <c r="R27" s="2">
        <f>VLOOKUP($B27&amp;"COLL"&amp;State,Sheet5!$A$2:$I$295,7,FALSE)</f>
        <v>5.7054</v>
      </c>
      <c r="S27" s="1">
        <f>VLOOKUP($B27&amp;"COLL"&amp;State,Sheet5!$A$2:$I$295,8,FALSE)</f>
        <v>3004.3180000000002</v>
      </c>
      <c r="U27" s="2">
        <f>IF(PIP="","",IF($C$1=FALSE,"",VLOOKUP($B27&amp;"PIP"&amp;State,Sheet5!$A$2:$I$295,6,FALSE)))</f>
        <v>112.49890000000001</v>
      </c>
      <c r="V27" s="2">
        <f>IF(PIP="","",IF($C$1=FALSE,"",VLOOKUP($B27&amp;"PIP"&amp;State,Sheet5!$A$2:$I$295,7,FALSE)))</f>
        <v>1.3514999999999999</v>
      </c>
      <c r="W27" s="1">
        <f>IF(PIP="","",IF($C$1=FALSE,"",VLOOKUP($B27&amp;"PIP"&amp;State,Sheet5!$A$2:$I$295,8,FALSE)))</f>
        <v>8323.8119999999999</v>
      </c>
      <c r="X27" s="2">
        <f>IF(PIP="","",IF($C$1=FALSE,"",VLOOKUP($B27&amp;"PIP"&amp;State,Sheet5!$A$2:$I$295,9,FALSE)))</f>
        <v>2.0097999999999998</v>
      </c>
      <c r="Z27" s="2" t="str">
        <f>IF(_PPI1="","",VLOOKUP($B27&amp;"PPI"&amp;State,Sheet5!$A$2:$I$295,6,FALSE))</f>
        <v/>
      </c>
      <c r="AA27" s="2" t="str">
        <f>IF(_PPI1="","",VLOOKUP($B27&amp;"PPI"&amp;State,Sheet5!$A$2:$I$295,7,FALSE))</f>
        <v/>
      </c>
      <c r="AB27" s="1" t="str">
        <f>IF(_PPI1="","",VLOOKUP($B27&amp;"PPI"&amp;State,Sheet5!$A$2:$I$295,8,FALSE))</f>
        <v/>
      </c>
      <c r="AF27" s="3"/>
    </row>
    <row r="28" spans="2:32" x14ac:dyDescent="0.2">
      <c r="B28" t="s">
        <v>717</v>
      </c>
      <c r="D28" s="2">
        <f>VLOOKUP($B28&amp;"BI"&amp;State,Sheet5!$A$2:$I$295,6,FALSE)</f>
        <v>109.479</v>
      </c>
      <c r="E28" s="2">
        <f>VLOOKUP($B28&amp;"BI"&amp;State,Sheet5!$A$2:$I$295,7,FALSE)</f>
        <v>0.91810000000000003</v>
      </c>
      <c r="F28" s="1">
        <f>VLOOKUP($B28&amp;"BI"&amp;State,Sheet5!$A$2:$I$295,8,FALSE)</f>
        <v>11923.956700000001</v>
      </c>
      <c r="G28" s="2">
        <f>VLOOKUP($B28&amp;"BI"&amp;State,Sheet5!$A$2:$I$295,9,FALSE)</f>
        <v>1.2583</v>
      </c>
      <c r="I28" s="2">
        <f>VLOOKUP($B28&amp;"PD"&amp;State,Sheet5!$A$2:$I$295,6,FALSE)</f>
        <v>95.853700000000003</v>
      </c>
      <c r="J28" s="2">
        <f>VLOOKUP($B28&amp;"PD"&amp;State,Sheet5!$A$2:$I$295,7,FALSE)</f>
        <v>3.4546000000000001</v>
      </c>
      <c r="K28" s="1">
        <f>VLOOKUP($B28&amp;"PD"&amp;State,Sheet5!$A$2:$I$295,8,FALSE)</f>
        <v>2774.7044999999998</v>
      </c>
      <c r="M28" s="2">
        <f>VLOOKUP($B28&amp;"COMP"&amp;State,Sheet5!$A$2:$I$295,6,FALSE)</f>
        <v>73.425899999999999</v>
      </c>
      <c r="N28" s="2">
        <f>VLOOKUP($B28&amp;"COMP"&amp;State,Sheet5!$A$2:$I$295,7,FALSE)</f>
        <v>6.14</v>
      </c>
      <c r="O28" s="1">
        <f>VLOOKUP($B28&amp;"COMP"&amp;State,Sheet5!$A$2:$I$295,8,FALSE)</f>
        <v>1195.856</v>
      </c>
      <c r="Q28" s="2">
        <f>VLOOKUP($B28&amp;"COLL"&amp;State,Sheet5!$A$2:$I$295,6,FALSE)</f>
        <v>169.2107</v>
      </c>
      <c r="R28" s="2">
        <f>VLOOKUP($B28&amp;"COLL"&amp;State,Sheet5!$A$2:$I$295,7,FALSE)</f>
        <v>5.6801000000000004</v>
      </c>
      <c r="S28" s="1">
        <f>VLOOKUP($B28&amp;"COLL"&amp;State,Sheet5!$A$2:$I$295,8,FALSE)</f>
        <v>2979.0308</v>
      </c>
      <c r="U28" s="2">
        <f>IF(PIP="","",IF($C$1=FALSE,"",VLOOKUP($B28&amp;"PIP"&amp;State,Sheet5!$A$2:$I$295,6,FALSE)))</f>
        <v>116.2016</v>
      </c>
      <c r="V28" s="2">
        <f>IF(PIP="","",IF($C$1=FALSE,"",VLOOKUP($B28&amp;"PIP"&amp;State,Sheet5!$A$2:$I$295,7,FALSE)))</f>
        <v>1.3580000000000001</v>
      </c>
      <c r="W28" s="1">
        <f>IF(PIP="","",IF($C$1=FALSE,"",VLOOKUP($B28&amp;"PIP"&amp;State,Sheet5!$A$2:$I$295,8,FALSE)))</f>
        <v>8556.9919000000009</v>
      </c>
      <c r="X28" s="2">
        <f>IF(PIP="","",IF($C$1=FALSE,"",VLOOKUP($B28&amp;"PIP"&amp;State,Sheet5!$A$2:$I$295,9,FALSE)))</f>
        <v>2.0156999999999998</v>
      </c>
      <c r="Z28" s="2" t="str">
        <f>IF(_PPI1="","",VLOOKUP($B28&amp;"PPI"&amp;State,Sheet5!$A$2:$I$295,6,FALSE))</f>
        <v/>
      </c>
      <c r="AA28" s="2" t="str">
        <f>IF(_PPI1="","",VLOOKUP($B28&amp;"PPI"&amp;State,Sheet5!$A$2:$I$295,7,FALSE))</f>
        <v/>
      </c>
      <c r="AB28" s="1" t="str">
        <f>IF(_PPI1="","",VLOOKUP($B28&amp;"PPI"&amp;State,Sheet5!$A$2:$I$295,8,FALSE))</f>
        <v/>
      </c>
      <c r="AF28" s="3"/>
    </row>
    <row r="29" spans="2:32" x14ac:dyDescent="0.2">
      <c r="B29" t="s">
        <v>718</v>
      </c>
      <c r="AF29" s="3"/>
    </row>
    <row r="30" spans="2:32" x14ac:dyDescent="0.2">
      <c r="B30" t="s">
        <v>719</v>
      </c>
      <c r="AF30" s="3"/>
    </row>
    <row r="31" spans="2:32" x14ac:dyDescent="0.2">
      <c r="AF31" s="3"/>
    </row>
    <row r="32" spans="2:32" x14ac:dyDescent="0.2">
      <c r="B32" t="s">
        <v>82</v>
      </c>
      <c r="AF32" s="3"/>
    </row>
    <row r="33" spans="2:32" x14ac:dyDescent="0.2">
      <c r="B33" s="12" t="s">
        <v>14</v>
      </c>
      <c r="AF33" s="3"/>
    </row>
    <row r="34" spans="2:32" x14ac:dyDescent="0.2">
      <c r="B34" t="s">
        <v>15</v>
      </c>
      <c r="D34" s="62">
        <f>VLOOKUP("Linear"&amp;LEFT($B34,1)&amp;"BI"&amp;State,Sheet5!$M$2:$Q$225,2,FALSE)</f>
        <v>1.2342635855851604E-2</v>
      </c>
      <c r="E34" s="62">
        <f>VLOOKUP("Linear"&amp;LEFT($B34,1)&amp;"BI"&amp;State,Sheet5!$M$2:$Q$225,3,FALSE)</f>
        <v>-4.0136291685670553E-2</v>
      </c>
      <c r="F34" s="62">
        <f>VLOOKUP("Linear"&amp;LEFT($B34,1)&amp;"BI"&amp;State,Sheet5!$M$2:$Q$225,4,FALSE)</f>
        <v>5.2294149445236901E-2</v>
      </c>
      <c r="G34" s="62">
        <f>VLOOKUP("Linear"&amp;LEFT($B34,1)&amp;"BI"&amp;State,Sheet5!$M$2:$Q$225,5,FALSE)</f>
        <v>-8.0639232302126315E-2</v>
      </c>
      <c r="H34" s="62"/>
      <c r="I34" s="62">
        <f>VLOOKUP("Linear"&amp;LEFT($B34,1)&amp;"PD"&amp;State,Sheet5!$M$2:$Q$225,2,FALSE)</f>
        <v>-3.0750813009284252E-2</v>
      </c>
      <c r="J34" s="62">
        <f>VLOOKUP("Linear"&amp;LEFT($B34,1)&amp;"PD"&amp;State,Sheet5!$M$2:$Q$225,3,FALSE)</f>
        <v>-4.461278380518284E-2</v>
      </c>
      <c r="K34" s="62">
        <f>VLOOKUP("Linear"&amp;LEFT($B34,1)&amp;"PD"&amp;State,Sheet5!$M$2:$Q$225,4,FALSE)</f>
        <v>1.3833899227268151E-2</v>
      </c>
      <c r="L34" s="62"/>
      <c r="M34" s="62">
        <f>VLOOKUP("Linear"&amp;LEFT($B34,1)&amp;"COMP"&amp;State,Sheet5!$M$2:$Q$225,2,FALSE)</f>
        <v>6.0616942183079781E-2</v>
      </c>
      <c r="N34" s="62">
        <f>VLOOKUP("Linear"&amp;LEFT($B34,1)&amp;"COMP"&amp;State,Sheet5!$M$2:$Q$225,3,FALSE)</f>
        <v>-9.4255876792249775E-3</v>
      </c>
      <c r="O34" s="62">
        <f>VLOOKUP("Linear"&amp;LEFT($B34,1)&amp;"COMP"&amp;State,Sheet5!$M$2:$Q$225,4,FALSE)</f>
        <v>7.0063926923574438E-2</v>
      </c>
      <c r="P34" s="62"/>
      <c r="Q34" s="62">
        <f>VLOOKUP("Linear"&amp;LEFT($B34,1)&amp;"COLL"&amp;State,Sheet5!$M$2:$Q$225,2,FALSE)</f>
        <v>-4.7721394414952392E-2</v>
      </c>
      <c r="R34" s="62">
        <f>VLOOKUP("Linear"&amp;LEFT($B34,1)&amp;"COLL"&amp;State,Sheet5!$M$2:$Q$225,3,FALSE)</f>
        <v>-3.7526355830887904E-2</v>
      </c>
      <c r="S34" s="62">
        <f>VLOOKUP("Linear"&amp;LEFT($B34,1)&amp;"COLL"&amp;State,Sheet5!$M$2:$Q$225,4,FALSE)</f>
        <v>-1.02090853095082E-2</v>
      </c>
      <c r="T34" s="62"/>
      <c r="U34" s="62">
        <f>IF(PIP="","",IF($C$1=FALSE,"",VLOOKUP("Linear"&amp;LEFT($B34,1)&amp;"PIP"&amp;State,Sheet5!$M$2:$Q$225,2,FALSE)))</f>
        <v>3.0486293619526587E-2</v>
      </c>
      <c r="V34" s="62">
        <f>IF(PIP="","",IF($C$1=FALSE,"",VLOOKUP("Linear"&amp;LEFT($B34,1)&amp;"PIP"&amp;State,Sheet5!$M$2:$Q$225,3,FALSE)))</f>
        <v>-4.2990994932370845E-2</v>
      </c>
      <c r="W34" s="62">
        <f>IF(PIP="","",IF($C$1=FALSE,"",VLOOKUP("Linear"&amp;LEFT($B34,1)&amp;"PIP"&amp;State,Sheet5!$M$2:$Q$225,4,FALSE)))</f>
        <v>7.3295254975018806E-2</v>
      </c>
      <c r="X34" s="62">
        <f>IF(PIP="","",IF($C$1=FALSE,"",VLOOKUP("Linear"&amp;LEFT($B34,1)&amp;"PIP"&amp;State,Sheet5!$M$2:$Q$225,5,FALSE)))</f>
        <v>-3.3418257455476587E-2</v>
      </c>
      <c r="Y34" s="62"/>
      <c r="Z34" s="62" t="str">
        <f>IF(_PPI1="","",VLOOKUP("Linear"&amp;LEFT($B34,1)&amp;"PPI"&amp;State,Sheet5!$M$2:$Q$225,2,FALSE))</f>
        <v/>
      </c>
      <c r="AA34" s="62" t="str">
        <f>IF(_PPI1="","",VLOOKUP("Linear"&amp;LEFT($B34,1)&amp;"PPI"&amp;State,Sheet5!$M$2:$Q$225,3,FALSE))</f>
        <v/>
      </c>
      <c r="AB34" s="62" t="str">
        <f>IF(_PPI1="","",VLOOKUP("Linear"&amp;LEFT($B34,1)&amp;"PPI"&amp;State,Sheet5!$M$2:$Q$225,4,FALSE))</f>
        <v/>
      </c>
      <c r="AF34" s="3"/>
    </row>
    <row r="35" spans="2:32" x14ac:dyDescent="0.2">
      <c r="B35" t="s">
        <v>16</v>
      </c>
      <c r="D35" s="62">
        <f>VLOOKUP("Linear"&amp;LEFT($B35,1)&amp;"BI"&amp;State,Sheet5!$M$2:$Q$225,2,FALSE)</f>
        <v>1.4555357146563795E-2</v>
      </c>
      <c r="E35" s="62">
        <f>VLOOKUP("Linear"&amp;LEFT($B35,1)&amp;"BI"&amp;State,Sheet5!$M$2:$Q$225,3,FALSE)</f>
        <v>-4.226576004234079E-2</v>
      </c>
      <c r="F35" s="62">
        <f>VLOOKUP("Linear"&amp;LEFT($B35,1)&amp;"BI"&amp;State,Sheet5!$M$2:$Q$225,4,FALSE)</f>
        <v>5.6646102276513156E-2</v>
      </c>
      <c r="G35" s="62">
        <f>VLOOKUP("Linear"&amp;LEFT($B35,1)&amp;"BI"&amp;State,Sheet5!$M$2:$Q$225,5,FALSE)</f>
        <v>-7.3370288012426968E-2</v>
      </c>
      <c r="H35" s="62"/>
      <c r="I35" s="62">
        <f>VLOOKUP("Linear"&amp;LEFT($B35,1)&amp;"PD"&amp;State,Sheet5!$M$2:$Q$225,2,FALSE)</f>
        <v>-3.6226259110088525E-3</v>
      </c>
      <c r="J35" s="62">
        <f>VLOOKUP("Linear"&amp;LEFT($B35,1)&amp;"PD"&amp;State,Sheet5!$M$2:$Q$225,3,FALSE)</f>
        <v>-2.1321981675834132E-2</v>
      </c>
      <c r="K35" s="62">
        <f>VLOOKUP("Linear"&amp;LEFT($B35,1)&amp;"PD"&amp;State,Sheet5!$M$2:$Q$225,4,FALSE)</f>
        <v>1.7795970559659608E-2</v>
      </c>
      <c r="L35" s="62"/>
      <c r="M35" s="62">
        <f>VLOOKUP("Linear"&amp;LEFT($B35,1)&amp;"COMP"&amp;State,Sheet5!$M$2:$Q$225,2,FALSE)</f>
        <v>9.002280078216611E-2</v>
      </c>
      <c r="N35" s="62">
        <f>VLOOKUP("Linear"&amp;LEFT($B35,1)&amp;"COMP"&amp;State,Sheet5!$M$2:$Q$225,3,FALSE)</f>
        <v>7.8181600586128778E-3</v>
      </c>
      <c r="O35" s="62">
        <f>VLOOKUP("Linear"&amp;LEFT($B35,1)&amp;"COMP"&amp;State,Sheet5!$M$2:$Q$225,4,FALSE)</f>
        <v>8.2163701695509322E-2</v>
      </c>
      <c r="P35" s="62"/>
      <c r="Q35" s="62">
        <f>VLOOKUP("Linear"&amp;LEFT($B35,1)&amp;"COLL"&amp;State,Sheet5!$M$2:$Q$225,2,FALSE)</f>
        <v>-1.365351126875369E-2</v>
      </c>
      <c r="R35" s="62">
        <f>VLOOKUP("Linear"&amp;LEFT($B35,1)&amp;"COLL"&amp;State,Sheet5!$M$2:$Q$225,3,FALSE)</f>
        <v>-1.402325599315726E-2</v>
      </c>
      <c r="S35" s="62">
        <f>VLOOKUP("Linear"&amp;LEFT($B35,1)&amp;"COLL"&amp;State,Sheet5!$M$2:$Q$225,4,FALSE)</f>
        <v>3.461134441429183E-4</v>
      </c>
      <c r="T35" s="62"/>
      <c r="U35" s="62">
        <f>IF(PIP="","",IF($C$1=FALSE,"",VLOOKUP("Linear"&amp;LEFT($B35,1)&amp;"PIP"&amp;State,Sheet5!$M$2:$Q$225,2,FALSE)))</f>
        <v>2.1102020068530066E-2</v>
      </c>
      <c r="V35" s="62">
        <f>IF(PIP="","",IF($C$1=FALSE,"",VLOOKUP("Linear"&amp;LEFT($B35,1)&amp;"PIP"&amp;State,Sheet5!$M$2:$Q$225,3,FALSE)))</f>
        <v>-4.7233158563207846E-2</v>
      </c>
      <c r="W35" s="62">
        <f>IF(PIP="","",IF($C$1=FALSE,"",VLOOKUP("Linear"&amp;LEFT($B35,1)&amp;"PIP"&amp;State,Sheet5!$M$2:$Q$225,4,FALSE)))</f>
        <v>6.8554258674382321E-2</v>
      </c>
      <c r="X35" s="62">
        <f>IF(PIP="","",IF($C$1=FALSE,"",VLOOKUP("Linear"&amp;LEFT($B35,1)&amp;"PIP"&amp;State,Sheet5!$M$2:$Q$225,5,FALSE)))</f>
        <v>-2.6339393068097645E-2</v>
      </c>
      <c r="Y35" s="62"/>
      <c r="Z35" s="62" t="str">
        <f>IF(_PPI1="","",VLOOKUP("Linear"&amp;LEFT($B35,1)&amp;"PPI"&amp;State,Sheet5!$M$2:$Q$225,2,FALSE))</f>
        <v/>
      </c>
      <c r="AA35" s="62" t="str">
        <f>IF(_PPI1="","",VLOOKUP("Linear"&amp;LEFT($B35,1)&amp;"PPI"&amp;State,Sheet5!$M$2:$Q$225,3,FALSE))</f>
        <v/>
      </c>
      <c r="AB35" s="62" t="str">
        <f>IF(_PPI1="","",VLOOKUP("Linear"&amp;LEFT($B35,1)&amp;"PPI"&amp;State,Sheet5!$M$2:$Q$225,4,FALSE))</f>
        <v/>
      </c>
      <c r="AF35" s="3"/>
    </row>
    <row r="36" spans="2:32" x14ac:dyDescent="0.2">
      <c r="B36" t="s">
        <v>17</v>
      </c>
      <c r="D36" s="62">
        <f>VLOOKUP("Linear"&amp;LEFT($B36,1)&amp;"BI"&amp;State,Sheet5!$M$2:$Q$225,2,FALSE)</f>
        <v>1.4770066909821356E-2</v>
      </c>
      <c r="E36" s="62">
        <f>VLOOKUP("Linear"&amp;LEFT($B36,1)&amp;"BI"&amp;State,Sheet5!$M$2:$Q$225,3,FALSE)</f>
        <v>-4.2028888477448935E-2</v>
      </c>
      <c r="F36" s="62">
        <f>VLOOKUP("Linear"&amp;LEFT($B36,1)&amp;"BI"&amp;State,Sheet5!$M$2:$Q$225,4,FALSE)</f>
        <v>5.6785345035316202E-2</v>
      </c>
      <c r="G36" s="62">
        <f>VLOOKUP("Linear"&amp;LEFT($B36,1)&amp;"BI"&amp;State,Sheet5!$M$2:$Q$225,5,FALSE)</f>
        <v>-6.1856532699932375E-2</v>
      </c>
      <c r="H36" s="62"/>
      <c r="I36" s="62">
        <f>VLOOKUP("Linear"&amp;LEFT($B36,1)&amp;"PD"&amp;State,Sheet5!$M$2:$Q$225,2,FALSE)</f>
        <v>9.9391184798044274E-3</v>
      </c>
      <c r="J36" s="62">
        <f>VLOOKUP("Linear"&amp;LEFT($B36,1)&amp;"PD"&amp;State,Sheet5!$M$2:$Q$225,3,FALSE)</f>
        <v>-1.0649389067060125E-2</v>
      </c>
      <c r="K36" s="62">
        <f>VLOOKUP("Linear"&amp;LEFT($B36,1)&amp;"PD"&amp;State,Sheet5!$M$2:$Q$225,4,FALSE)</f>
        <v>2.0670718622621032E-2</v>
      </c>
      <c r="L36" s="62"/>
      <c r="M36" s="62">
        <f>VLOOKUP("Linear"&amp;LEFT($B36,1)&amp;"COMP"&amp;State,Sheet5!$M$2:$Q$225,2,FALSE)</f>
        <v>-2.4211744444547725E-2</v>
      </c>
      <c r="N36" s="62">
        <f>VLOOKUP("Linear"&amp;LEFT($B36,1)&amp;"COMP"&amp;State,Sheet5!$M$2:$Q$225,3,FALSE)</f>
        <v>-4.0108869408566589E-2</v>
      </c>
      <c r="O36" s="62">
        <f>VLOOKUP("Linear"&amp;LEFT($B36,1)&amp;"COMP"&amp;State,Sheet5!$M$2:$Q$225,4,FALSE)</f>
        <v>1.7446622924910341E-2</v>
      </c>
      <c r="P36" s="62"/>
      <c r="Q36" s="62">
        <f>VLOOKUP("Linear"&amp;LEFT($B36,1)&amp;"COLL"&amp;State,Sheet5!$M$2:$Q$225,2,FALSE)</f>
        <v>2.4050778075778664E-3</v>
      </c>
      <c r="R36" s="62">
        <f>VLOOKUP("Linear"&amp;LEFT($B36,1)&amp;"COLL"&amp;State,Sheet5!$M$2:$Q$225,3,FALSE)</f>
        <v>-1.3044458623057518E-3</v>
      </c>
      <c r="S36" s="62">
        <f>VLOOKUP("Linear"&amp;LEFT($B36,1)&amp;"COLL"&amp;State,Sheet5!$M$2:$Q$225,4,FALSE)</f>
        <v>3.7028969388758627E-3</v>
      </c>
      <c r="T36" s="62"/>
      <c r="U36" s="62">
        <f>IF(PIP="","",IF($C$1=FALSE,"",VLOOKUP("Linear"&amp;LEFT($B36,1)&amp;"PIP"&amp;State,Sheet5!$M$2:$Q$225,2,FALSE)))</f>
        <v>1.498747483023727E-2</v>
      </c>
      <c r="V36" s="62">
        <f>IF(PIP="","",IF($C$1=FALSE,"",VLOOKUP("Linear"&amp;LEFT($B36,1)&amp;"PIP"&amp;State,Sheet5!$M$2:$Q$225,3,FALSE)))</f>
        <v>-5.1298606849038079E-2</v>
      </c>
      <c r="W36" s="62">
        <f>IF(PIP="","",IF($C$1=FALSE,"",VLOOKUP("Linear"&amp;LEFT($B36,1)&amp;"PIP"&amp;State,Sheet5!$M$2:$Q$225,4,FALSE)))</f>
        <v>6.6101631887275344E-2</v>
      </c>
      <c r="X36" s="62">
        <f>IF(PIP="","",IF($C$1=FALSE,"",VLOOKUP("Linear"&amp;LEFT($B36,1)&amp;"PIP"&amp;State,Sheet5!$M$2:$Q$225,5,FALSE)))</f>
        <v>-1.9355182224204598E-2</v>
      </c>
      <c r="Y36" s="62"/>
      <c r="Z36" s="62" t="str">
        <f>IF(_PPI1="","",VLOOKUP("Linear"&amp;LEFT($B36,1)&amp;"PPI"&amp;State,Sheet5!$M$2:$Q$225,2,FALSE))</f>
        <v/>
      </c>
      <c r="AA36" s="62" t="str">
        <f>IF(_PPI1="","",VLOOKUP("Linear"&amp;LEFT($B36,1)&amp;"PPI"&amp;State,Sheet5!$M$2:$Q$225,3,FALSE))</f>
        <v/>
      </c>
      <c r="AB36" s="62" t="str">
        <f>IF(_PPI1="","",VLOOKUP("Linear"&amp;LEFT($B36,1)&amp;"PPI"&amp;State,Sheet5!$M$2:$Q$225,4,FALSE))</f>
        <v/>
      </c>
      <c r="AF36" s="3"/>
    </row>
    <row r="37" spans="2:32" x14ac:dyDescent="0.2">
      <c r="B37" s="38" t="s">
        <v>37</v>
      </c>
      <c r="D37" s="62">
        <f>VLOOKUP("Linear"&amp;LEFT($B37,1)&amp;"BI"&amp;State,Sheet5!$M$2:$Q$225,2,FALSE)</f>
        <v>8.7493665830315169E-3</v>
      </c>
      <c r="E37" s="62">
        <f>VLOOKUP("Linear"&amp;LEFT($B37,1)&amp;"BI"&amp;State,Sheet5!$M$2:$Q$225,3,FALSE)</f>
        <v>-4.3407973074090604E-2</v>
      </c>
      <c r="F37" s="62">
        <f>VLOOKUP("Linear"&amp;LEFT($B37,1)&amp;"BI"&amp;State,Sheet5!$M$2:$Q$225,4,FALSE)</f>
        <v>5.2247092608540761E-2</v>
      </c>
      <c r="G37" s="62">
        <f>VLOOKUP("Linear"&amp;LEFT($B37,1)&amp;"BI"&amp;State,Sheet5!$M$2:$Q$225,5,FALSE)</f>
        <v>-5.9783435659717644E-2</v>
      </c>
      <c r="H37" s="62"/>
      <c r="I37" s="62">
        <f>VLOOKUP("Linear"&amp;LEFT($B37,1)&amp;"PD"&amp;State,Sheet5!$M$2:$Q$225,2,FALSE)</f>
        <v>8.7718754778916171E-3</v>
      </c>
      <c r="J37" s="62">
        <f>VLOOKUP("Linear"&amp;LEFT($B37,1)&amp;"PD"&amp;State,Sheet5!$M$2:$Q$225,3,FALSE)</f>
        <v>-1.6649462015118521E-2</v>
      </c>
      <c r="K37" s="62">
        <f>VLOOKUP("Linear"&amp;LEFT($B37,1)&amp;"PD"&amp;State,Sheet5!$M$2:$Q$225,4,FALSE)</f>
        <v>2.5263033137238825E-2</v>
      </c>
      <c r="L37" s="62"/>
      <c r="M37" s="62">
        <f>VLOOKUP("Linear"&amp;LEFT($B37,1)&amp;"COMP"&amp;State,Sheet5!$M$2:$Q$225,2,FALSE)</f>
        <v>-1.964953432174164E-2</v>
      </c>
      <c r="N37" s="62">
        <f>VLOOKUP("Linear"&amp;LEFT($B37,1)&amp;"COMP"&amp;State,Sheet5!$M$2:$Q$225,3,FALSE)</f>
        <v>-5.357337477546574E-2</v>
      </c>
      <c r="O37" s="62">
        <f>VLOOKUP("Linear"&amp;LEFT($B37,1)&amp;"COMP"&amp;State,Sheet5!$M$2:$Q$225,4,FALSE)</f>
        <v>3.3032553532116468E-2</v>
      </c>
      <c r="P37" s="62"/>
      <c r="Q37" s="62">
        <f>VLOOKUP("Linear"&amp;LEFT($B37,1)&amp;"COLL"&amp;State,Sheet5!$M$2:$Q$225,2,FALSE)</f>
        <v>3.5919660369228769E-3</v>
      </c>
      <c r="R37" s="62">
        <f>VLOOKUP("Linear"&amp;LEFT($B37,1)&amp;"COLL"&amp;State,Sheet5!$M$2:$Q$225,3,FALSE)</f>
        <v>-8.2352296606382647E-3</v>
      </c>
      <c r="S37" s="62">
        <f>VLOOKUP("Linear"&amp;LEFT($B37,1)&amp;"COLL"&amp;State,Sheet5!$M$2:$Q$225,4,FALSE)</f>
        <v>1.1674521066511911E-2</v>
      </c>
      <c r="T37" s="62"/>
      <c r="U37" s="62">
        <f>IF(PIP="","",IF($C$1=FALSE,"",VLOOKUP("Linear"&amp;LEFT($B37,1)&amp;"PIP"&amp;State,Sheet5!$M$2:$Q$225,2,FALSE)))</f>
        <v>1.0709108868021469E-3</v>
      </c>
      <c r="V37" s="62">
        <f>IF(PIP="","",IF($C$1=FALSE,"",VLOOKUP("Linear"&amp;LEFT($B37,1)&amp;"PIP"&amp;State,Sheet5!$M$2:$Q$225,3,FALSE)))</f>
        <v>-4.9796934971340828E-2</v>
      </c>
      <c r="W37" s="62">
        <f>IF(PIP="","",IF($C$1=FALSE,"",VLOOKUP("Linear"&amp;LEFT($B37,1)&amp;"PIP"&amp;State,Sheet5!$M$2:$Q$225,4,FALSE)))</f>
        <v>5.1476519739662246E-2</v>
      </c>
      <c r="X37" s="62">
        <f>IF(PIP="","",IF($C$1=FALSE,"",VLOOKUP("Linear"&amp;LEFT($B37,1)&amp;"PIP"&amp;State,Sheet5!$M$2:$Q$225,5,FALSE)))</f>
        <v>-3.1521425160784509E-2</v>
      </c>
      <c r="Y37" s="62"/>
      <c r="Z37" s="62" t="str">
        <f>IF(_PPI1="","",VLOOKUP("Linear"&amp;LEFT($B37,1)&amp;"PPI"&amp;State,Sheet5!$M$2:$Q$225,2,FALSE))</f>
        <v/>
      </c>
      <c r="AA37" s="62" t="str">
        <f>IF(_PPI1="","",VLOOKUP("Linear"&amp;LEFT($B37,1)&amp;"PPI"&amp;State,Sheet5!$M$2:$Q$225,3,FALSE))</f>
        <v/>
      </c>
      <c r="AB37" s="62" t="str">
        <f>IF(_PPI1="","",VLOOKUP("Linear"&amp;LEFT($B37,1)&amp;"PPI"&amp;State,Sheet5!$M$2:$Q$225,4,FALSE))</f>
        <v/>
      </c>
      <c r="AF37" s="3"/>
    </row>
    <row r="38" spans="2:32" x14ac:dyDescent="0.2">
      <c r="B38" s="38"/>
      <c r="AF38" s="3"/>
    </row>
    <row r="39" spans="2:32" x14ac:dyDescent="0.2">
      <c r="B39" s="13" t="s">
        <v>18</v>
      </c>
      <c r="AF39" s="3"/>
    </row>
    <row r="40" spans="2:32" x14ac:dyDescent="0.2">
      <c r="B40" t="s">
        <v>15</v>
      </c>
      <c r="D40" s="62">
        <f>VLOOKUP("Expon"&amp;LEFT($B40,1)&amp;"BI"&amp;State,Sheet5!$M$2:$Q$225,2,FALSE)</f>
        <v>1.2434919205492001E-2</v>
      </c>
      <c r="E40" s="62">
        <f>VLOOKUP("Expon"&amp;LEFT($B40,1)&amp;"BI"&amp;State,Sheet5!$M$2:$Q$225,3,FALSE)</f>
        <v>-3.9341651210264339E-2</v>
      </c>
      <c r="F40" s="62">
        <f>VLOOKUP("Expon"&amp;LEFT($B40,1)&amp;"BI"&amp;State,Sheet5!$M$2:$Q$225,4,FALSE)</f>
        <v>5.3769960853877308E-2</v>
      </c>
      <c r="G40" s="62">
        <f>VLOOKUP("Expon"&amp;LEFT($B40,1)&amp;"BI"&amp;State,Sheet5!$M$2:$Q$225,5,FALSE)</f>
        <v>-7.7274266383386414E-2</v>
      </c>
      <c r="H40" s="62"/>
      <c r="I40" s="62">
        <f>VLOOKUP("Expon"&amp;LEFT($B40,1)&amp;"PD"&amp;State,Sheet5!$M$2:$Q$225,2,FALSE)</f>
        <v>-3.0273896371104447E-2</v>
      </c>
      <c r="J40" s="62">
        <f>VLOOKUP("Expon"&amp;LEFT($B40,1)&amp;"PD"&amp;State,Sheet5!$M$2:$Q$225,3,FALSE)</f>
        <v>-4.3597433868535429E-2</v>
      </c>
      <c r="K40" s="62">
        <f>VLOOKUP("Expon"&amp;LEFT($B40,1)&amp;"PD"&amp;State,Sheet5!$M$2:$Q$225,4,FALSE)</f>
        <v>1.3937474954142992E-2</v>
      </c>
      <c r="L40" s="62"/>
      <c r="M40" s="62">
        <f>VLOOKUP("Expon"&amp;LEFT($B40,1)&amp;"COMP"&amp;State,Sheet5!$M$2:$Q$225,2,FALSE)</f>
        <v>6.2974358317458901E-2</v>
      </c>
      <c r="N40" s="62">
        <f>VLOOKUP("Expon"&amp;LEFT($B40,1)&amp;"COMP"&amp;State,Sheet5!$M$2:$Q$225,3,FALSE)</f>
        <v>-9.3841136778504142E-3</v>
      </c>
      <c r="O40" s="62">
        <f>VLOOKUP("Expon"&amp;LEFT($B40,1)&amp;"COMP"&amp;State,Sheet5!$M$2:$Q$225,4,FALSE)</f>
        <v>7.3042522761077366E-2</v>
      </c>
      <c r="P40" s="62"/>
      <c r="Q40" s="62">
        <f>VLOOKUP("Expon"&amp;LEFT($B40,1)&amp;"COLL"&amp;State,Sheet5!$M$2:$Q$225,2,FALSE)</f>
        <v>-4.6597025479816812E-2</v>
      </c>
      <c r="R40" s="62">
        <f>VLOOKUP("Expon"&amp;LEFT($B40,1)&amp;"COLL"&amp;State,Sheet5!$M$2:$Q$225,3,FALSE)</f>
        <v>-3.6803931026215708E-2</v>
      </c>
      <c r="S40" s="62">
        <f>VLOOKUP("Expon"&amp;LEFT($B40,1)&amp;"COLL"&amp;State,Sheet5!$M$2:$Q$225,4,FALSE)</f>
        <v>-1.0169369553132634E-2</v>
      </c>
      <c r="T40" s="62"/>
      <c r="U40" s="62">
        <f>IF(PIP="","",IF($C$1=FALSE,"",VLOOKUP("Expon"&amp;LEFT($B40,1)&amp;"PIP"&amp;State,Sheet5!$M$2:$Q$225,2,FALSE)))</f>
        <v>3.0677224119446844E-2</v>
      </c>
      <c r="V40" s="62">
        <f>IF(PIP="","",IF($C$1=FALSE,"",VLOOKUP("Expon"&amp;LEFT($B40,1)&amp;"PIP"&amp;State,Sheet5!$M$2:$Q$225,3,FALSE)))</f>
        <v>-4.1954737306224121E-2</v>
      </c>
      <c r="W40" s="62">
        <f>IF(PIP="","",IF($C$1=FALSE,"",VLOOKUP("Expon"&amp;LEFT($B40,1)&amp;"PIP"&amp;State,Sheet5!$M$2:$Q$225,4,FALSE)))</f>
        <v>7.587109512554302E-2</v>
      </c>
      <c r="X40" s="62">
        <f>IF(PIP="","",IF($C$1=FALSE,"",VLOOKUP("Expon"&amp;LEFT($B40,1)&amp;"PIP"&amp;State,Sheet5!$M$2:$Q$225,5,FALSE)))</f>
        <v>-3.277493005550125E-2</v>
      </c>
      <c r="Y40" s="62"/>
      <c r="Z40" s="62" t="str">
        <f>IF(_PPI1="","",VLOOKUP("Expon"&amp;LEFT($B40,1)&amp;"PPI"&amp;State,Sheet5!$M$2:$Q$225,2,FALSE))</f>
        <v/>
      </c>
      <c r="AA40" s="62" t="str">
        <f>IF(_PPI1="","",VLOOKUP("Expon"&amp;LEFT($B40,1)&amp;"PPI"&amp;State,Sheet5!$M$2:$Q$225,3,FALSE))</f>
        <v/>
      </c>
      <c r="AB40" s="62" t="str">
        <f>IF(_PPI1="","",VLOOKUP("Expon"&amp;LEFT($B40,1)&amp;"PPI"&amp;State,Sheet5!$M$2:$Q$225,4,FALSE))</f>
        <v/>
      </c>
      <c r="AF40" s="3"/>
    </row>
    <row r="41" spans="2:32" x14ac:dyDescent="0.2">
      <c r="B41" t="s">
        <v>16</v>
      </c>
      <c r="D41" s="62">
        <f>VLOOKUP("Expon"&amp;LEFT($B41,1)&amp;"BI"&amp;State,Sheet5!$M$2:$Q$225,2,FALSE)</f>
        <v>1.4660822030646115E-2</v>
      </c>
      <c r="E41" s="62">
        <f>VLOOKUP("Expon"&amp;LEFT($B41,1)&amp;"BI"&amp;State,Sheet5!$M$2:$Q$225,3,FALSE)</f>
        <v>-4.1339261594395382E-2</v>
      </c>
      <c r="F41" s="62">
        <f>VLOOKUP("Expon"&amp;LEFT($B41,1)&amp;"BI"&amp;State,Sheet5!$M$2:$Q$225,4,FALSE)</f>
        <v>5.8370750291405704E-2</v>
      </c>
      <c r="G41" s="62">
        <f>VLOOKUP("Expon"&amp;LEFT($B41,1)&amp;"BI"&amp;State,Sheet5!$M$2:$Q$225,5,FALSE)</f>
        <v>-7.0958467056634666E-2</v>
      </c>
      <c r="H41" s="62"/>
      <c r="I41" s="62">
        <f>VLOOKUP("Expon"&amp;LEFT($B41,1)&amp;"PD"&amp;State,Sheet5!$M$2:$Q$225,2,FALSE)</f>
        <v>-3.6355187458358973E-3</v>
      </c>
      <c r="J41" s="62">
        <f>VLOOKUP("Expon"&amp;LEFT($B41,1)&amp;"PD"&amp;State,Sheet5!$M$2:$Q$225,3,FALSE)</f>
        <v>-2.1216448430762758E-2</v>
      </c>
      <c r="K41" s="62">
        <f>VLOOKUP("Expon"&amp;LEFT($B41,1)&amp;"PD"&amp;State,Sheet5!$M$2:$Q$225,4,FALSE)</f>
        <v>1.7967912812112186E-2</v>
      </c>
      <c r="L41" s="62"/>
      <c r="M41" s="62">
        <f>VLOOKUP("Expon"&amp;LEFT($B41,1)&amp;"COMP"&amp;State,Sheet5!$M$2:$Q$225,2,FALSE)</f>
        <v>9.3758566217384764E-2</v>
      </c>
      <c r="N41" s="62">
        <f>VLOOKUP("Expon"&amp;LEFT($B41,1)&amp;"COMP"&amp;State,Sheet5!$M$2:$Q$225,3,FALSE)</f>
        <v>7.8480465353734097E-3</v>
      </c>
      <c r="O41" s="62">
        <f>VLOOKUP("Expon"&amp;LEFT($B41,1)&amp;"COMP"&amp;State,Sheet5!$M$2:$Q$225,4,FALSE)</f>
        <v>8.5236393805794952E-2</v>
      </c>
      <c r="P41" s="62"/>
      <c r="Q41" s="62">
        <f>VLOOKUP("Expon"&amp;LEFT($B41,1)&amp;"COLL"&amp;State,Sheet5!$M$2:$Q$225,2,FALSE)</f>
        <v>-1.3673195815595784E-2</v>
      </c>
      <c r="R41" s="62">
        <f>VLOOKUP("Expon"&amp;LEFT($B41,1)&amp;"COLL"&amp;State,Sheet5!$M$2:$Q$225,3,FALSE)</f>
        <v>-1.4002775173561632E-2</v>
      </c>
      <c r="S41" s="62">
        <f>VLOOKUP("Expon"&amp;LEFT($B41,1)&amp;"COLL"&amp;State,Sheet5!$M$2:$Q$225,4,FALSE)</f>
        <v>3.4262215257574447E-4</v>
      </c>
      <c r="T41" s="62"/>
      <c r="U41" s="62">
        <f>IF(PIP="","",IF($C$1=FALSE,"",VLOOKUP("Expon"&amp;LEFT($B41,1)&amp;"PIP"&amp;State,Sheet5!$M$2:$Q$225,2,FALSE)))</f>
        <v>2.1298329408741434E-2</v>
      </c>
      <c r="V41" s="62">
        <f>IF(PIP="","",IF($C$1=FALSE,"",VLOOKUP("Expon"&amp;LEFT($B41,1)&amp;"PIP"&amp;State,Sheet5!$M$2:$Q$225,3,FALSE)))</f>
        <v>-4.6249777091613153E-2</v>
      </c>
      <c r="W41" s="62">
        <f>IF(PIP="","",IF($C$1=FALSE,"",VLOOKUP("Expon"&amp;LEFT($B41,1)&amp;"PIP"&amp;State,Sheet5!$M$2:$Q$225,4,FALSE)))</f>
        <v>7.0806286854369516E-2</v>
      </c>
      <c r="X41" s="62">
        <f>IF(PIP="","",IF($C$1=FALSE,"",VLOOKUP("Expon"&amp;LEFT($B41,1)&amp;"PIP"&amp;State,Sheet5!$M$2:$Q$225,5,FALSE)))</f>
        <v>-2.6082541879457688E-2</v>
      </c>
      <c r="Y41" s="62"/>
      <c r="Z41" s="62" t="str">
        <f>IF(_PPI1="","",VLOOKUP("Expon"&amp;LEFT($B41,1)&amp;"PPI"&amp;State,Sheet5!$M$2:$Q$225,2,FALSE))</f>
        <v/>
      </c>
      <c r="AA41" s="62" t="str">
        <f>IF(_PPI1="","",VLOOKUP("Expon"&amp;LEFT($B41,1)&amp;"PPI"&amp;State,Sheet5!$M$2:$Q$225,3,FALSE))</f>
        <v/>
      </c>
      <c r="AB41" s="62" t="str">
        <f>IF(_PPI1="","",VLOOKUP("Expon"&amp;LEFT($B41,1)&amp;"PPI"&amp;State,Sheet5!$M$2:$Q$225,4,FALSE))</f>
        <v/>
      </c>
      <c r="AF41" s="3"/>
    </row>
    <row r="42" spans="2:32" x14ac:dyDescent="0.2">
      <c r="B42" t="s">
        <v>17</v>
      </c>
      <c r="D42" s="62">
        <f>VLOOKUP("Expon"&amp;LEFT($B42,1)&amp;"BI"&amp;State,Sheet5!$M$2:$Q$225,2,FALSE)</f>
        <v>1.48872270704139E-2</v>
      </c>
      <c r="E42" s="62">
        <f>VLOOKUP("Expon"&amp;LEFT($B42,1)&amp;"BI"&amp;State,Sheet5!$M$2:$Q$225,3,FALSE)</f>
        <v>-4.1179865539671789E-2</v>
      </c>
      <c r="F42" s="62">
        <f>VLOOKUP("Expon"&amp;LEFT($B42,1)&amp;"BI"&amp;State,Sheet5!$M$2:$Q$225,4,FALSE)</f>
        <v>5.8466937529378704E-2</v>
      </c>
      <c r="G42" s="62">
        <f>VLOOKUP("Expon"&amp;LEFT($B42,1)&amp;"BI"&amp;State,Sheet5!$M$2:$Q$225,5,FALSE)</f>
        <v>-6.0387760475910657E-2</v>
      </c>
      <c r="H42" s="62"/>
      <c r="I42" s="62">
        <f>VLOOKUP("Expon"&amp;LEFT($B42,1)&amp;"PD"&amp;State,Sheet5!$M$2:$Q$225,2,FALSE)</f>
        <v>1.002987345792139E-2</v>
      </c>
      <c r="J42" s="62">
        <f>VLOOKUP("Expon"&amp;LEFT($B42,1)&amp;"PD"&amp;State,Sheet5!$M$2:$Q$225,3,FALSE)</f>
        <v>-1.0671945081164758E-2</v>
      </c>
      <c r="K42" s="62">
        <f>VLOOKUP("Expon"&amp;LEFT($B42,1)&amp;"PD"&amp;State,Sheet5!$M$2:$Q$225,4,FALSE)</f>
        <v>2.0926709700470614E-2</v>
      </c>
      <c r="L42" s="62"/>
      <c r="M42" s="62">
        <f>VLOOKUP("Expon"&amp;LEFT($B42,1)&amp;"COMP"&amp;State,Sheet5!$M$2:$Q$225,2,FALSE)</f>
        <v>-2.1471745736801995E-2</v>
      </c>
      <c r="N42" s="62">
        <f>VLOOKUP("Expon"&amp;LEFT($B42,1)&amp;"COMP"&amp;State,Sheet5!$M$2:$Q$225,3,FALSE)</f>
        <v>-3.8172038917803408E-2</v>
      </c>
      <c r="O42" s="62">
        <f>VLOOKUP("Expon"&amp;LEFT($B42,1)&amp;"COMP"&amp;State,Sheet5!$M$2:$Q$225,4,FALSE)</f>
        <v>1.7360770638588541E-2</v>
      </c>
      <c r="P42" s="62"/>
      <c r="Q42" s="62">
        <f>VLOOKUP("Expon"&amp;LEFT($B42,1)&amp;"COLL"&amp;State,Sheet5!$M$2:$Q$225,2,FALSE)</f>
        <v>2.3751316649704979E-3</v>
      </c>
      <c r="R42" s="62">
        <f>VLOOKUP("Expon"&amp;LEFT($B42,1)&amp;"COLL"&amp;State,Sheet5!$M$2:$Q$225,3,FALSE)</f>
        <v>-1.3357736130340525E-3</v>
      </c>
      <c r="S42" s="62">
        <f>VLOOKUP("Expon"&amp;LEFT($B42,1)&amp;"COLL"&amp;State,Sheet5!$M$2:$Q$225,4,FALSE)</f>
        <v>3.7190760188934302E-3</v>
      </c>
      <c r="T42" s="62"/>
      <c r="U42" s="62">
        <f>IF(PIP="","",IF($C$1=FALSE,"",VLOOKUP("Expon"&amp;LEFT($B42,1)&amp;"PIP"&amp;State,Sheet5!$M$2:$Q$225,2,FALSE)))</f>
        <v>1.5030821387285176E-2</v>
      </c>
      <c r="V42" s="62">
        <f>IF(PIP="","",IF($C$1=FALSE,"",VLOOKUP("Expon"&amp;LEFT($B42,1)&amp;"PIP"&amp;State,Sheet5!$M$2:$Q$225,3,FALSE)))</f>
        <v>-4.9862041623022657E-2</v>
      </c>
      <c r="W42" s="62">
        <f>IF(PIP="","",IF($C$1=FALSE,"",VLOOKUP("Expon"&amp;LEFT($B42,1)&amp;"PIP"&amp;State,Sheet5!$M$2:$Q$225,4,FALSE)))</f>
        <v>6.829790939750402E-2</v>
      </c>
      <c r="X42" s="62">
        <f>IF(PIP="","",IF($C$1=FALSE,"",VLOOKUP("Expon"&amp;LEFT($B42,1)&amp;"PIP"&amp;State,Sheet5!$M$2:$Q$225,5,FALSE)))</f>
        <v>-1.9240526013693304E-2</v>
      </c>
      <c r="Y42" s="62"/>
      <c r="Z42" s="62" t="str">
        <f>IF(_PPI1="","",VLOOKUP("Expon"&amp;LEFT($B42,1)&amp;"PPI"&amp;State,Sheet5!$M$2:$Q$225,2,FALSE))</f>
        <v/>
      </c>
      <c r="AA42" s="62" t="str">
        <f>IF(_PPI1="","",VLOOKUP("Expon"&amp;LEFT($B42,1)&amp;"PPI"&amp;State,Sheet5!$M$2:$Q$225,3,FALSE))</f>
        <v/>
      </c>
      <c r="AB42" s="62" t="str">
        <f>IF(_PPI1="","",VLOOKUP("Expon"&amp;LEFT($B42,1)&amp;"PPI"&amp;State,Sheet5!$M$2:$Q$225,4,FALSE))</f>
        <v/>
      </c>
      <c r="AF42" s="3"/>
    </row>
    <row r="43" spans="2:32" x14ac:dyDescent="0.2">
      <c r="B43" s="38" t="s">
        <v>37</v>
      </c>
      <c r="D43" s="62">
        <f>VLOOKUP("Expon"&amp;LEFT($B43,1)&amp;"BI"&amp;State,Sheet5!$M$2:$Q$225,2,FALSE)</f>
        <v>8.7656677868723776E-3</v>
      </c>
      <c r="E43" s="62">
        <f>VLOOKUP("Expon"&amp;LEFT($B43,1)&amp;"BI"&amp;State,Sheet5!$M$2:$Q$225,3,FALSE)</f>
        <v>-4.244085043940804E-2</v>
      </c>
      <c r="F43" s="62">
        <f>VLOOKUP("Expon"&amp;LEFT($B43,1)&amp;"BI"&amp;State,Sheet5!$M$2:$Q$225,4,FALSE)</f>
        <v>5.3470659839134571E-2</v>
      </c>
      <c r="G43" s="62">
        <f>VLOOKUP("Expon"&amp;LEFT($B43,1)&amp;"BI"&amp;State,Sheet5!$M$2:$Q$225,5,FALSE)</f>
        <v>-5.8325539407240834E-2</v>
      </c>
      <c r="H43" s="62"/>
      <c r="I43" s="62">
        <f>VLOOKUP("Expon"&amp;LEFT($B43,1)&amp;"PD"&amp;State,Sheet5!$M$2:$Q$225,2,FALSE)</f>
        <v>8.8069405903712372E-3</v>
      </c>
      <c r="J43" s="62">
        <f>VLOOKUP("Expon"&amp;LEFT($B43,1)&amp;"PD"&amp;State,Sheet5!$M$2:$Q$225,3,FALSE)</f>
        <v>-1.6475378340295777E-2</v>
      </c>
      <c r="K43" s="62">
        <f>VLOOKUP("Expon"&amp;LEFT($B43,1)&amp;"PD"&amp;State,Sheet5!$M$2:$Q$225,4,FALSE)</f>
        <v>2.5705034211713995E-2</v>
      </c>
      <c r="L43" s="62"/>
      <c r="M43" s="62">
        <f>VLOOKUP("Expon"&amp;LEFT($B43,1)&amp;"COMP"&amp;State,Sheet5!$M$2:$Q$225,2,FALSE)</f>
        <v>-1.8718182192426824E-2</v>
      </c>
      <c r="N43" s="62">
        <f>VLOOKUP("Expon"&amp;LEFT($B43,1)&amp;"COMP"&amp;State,Sheet5!$M$2:$Q$225,3,FALSE)</f>
        <v>-5.1386433524844843E-2</v>
      </c>
      <c r="O43" s="62">
        <f>VLOOKUP("Expon"&amp;LEFT($B43,1)&amp;"COMP"&amp;State,Sheet5!$M$2:$Q$225,4,FALSE)</f>
        <v>3.4436369342652595E-2</v>
      </c>
      <c r="P43" s="62"/>
      <c r="Q43" s="62">
        <f>VLOOKUP("Expon"&amp;LEFT($B43,1)&amp;"COLL"&amp;State,Sheet5!$M$2:$Q$225,2,FALSE)</f>
        <v>3.5674813841586328E-3</v>
      </c>
      <c r="R43" s="62">
        <f>VLOOKUP("Expon"&amp;LEFT($B43,1)&amp;"COLL"&amp;State,Sheet5!$M$2:$Q$225,3,FALSE)</f>
        <v>-8.1716992820010104E-3</v>
      </c>
      <c r="S43" s="62">
        <f>VLOOKUP("Expon"&amp;LEFT($B43,1)&amp;"COLL"&amp;State,Sheet5!$M$2:$Q$225,4,FALSE)</f>
        <v>1.1836624165894261E-2</v>
      </c>
      <c r="T43" s="62"/>
      <c r="U43" s="62">
        <f>IF(PIP="","",IF($C$1=FALSE,"",VLOOKUP("Expon"&amp;LEFT($B43,1)&amp;"PIP"&amp;State,Sheet5!$M$2:$Q$225,2,FALSE)))</f>
        <v>1.065543740971453E-3</v>
      </c>
      <c r="V43" s="62">
        <f>IF(PIP="","",IF($C$1=FALSE,"",VLOOKUP("Expon"&amp;LEFT($B43,1)&amp;"PIP"&amp;State,Sheet5!$M$2:$Q$225,3,FALSE)))</f>
        <v>-4.8638493725638221E-2</v>
      </c>
      <c r="W43" s="62">
        <f>IF(PIP="","",IF($C$1=FALSE,"",VLOOKUP("Expon"&amp;LEFT($B43,1)&amp;"PIP"&amp;State,Sheet5!$M$2:$Q$225,4,FALSE)))</f>
        <v>5.224684146916414E-2</v>
      </c>
      <c r="X43" s="62">
        <f>IF(PIP="","",IF($C$1=FALSE,"",VLOOKUP("Expon"&amp;LEFT($B43,1)&amp;"PIP"&amp;State,Sheet5!$M$2:$Q$225,5,FALSE)))</f>
        <v>-3.0731896679518367E-2</v>
      </c>
      <c r="Y43" s="62"/>
      <c r="Z43" s="62" t="str">
        <f>IF(_PPI1="","",VLOOKUP("Expon"&amp;LEFT($B43,1)&amp;"PPI"&amp;State,Sheet5!$M$2:$Q$225,2,FALSE))</f>
        <v/>
      </c>
      <c r="AA43" s="62" t="str">
        <f>IF(_PPI1="","",VLOOKUP("Expon"&amp;LEFT($B43,1)&amp;"PPI"&amp;State,Sheet5!$M$2:$Q$225,3,FALSE))</f>
        <v/>
      </c>
      <c r="AB43" s="62" t="str">
        <f>IF(_PPI1="","",VLOOKUP("Expon"&amp;LEFT($B43,1)&amp;"PPI"&amp;State,Sheet5!$M$2:$Q$225,4,FALSE))</f>
        <v/>
      </c>
      <c r="AF43" s="3"/>
    </row>
    <row r="44" spans="2:32" x14ac:dyDescent="0.2">
      <c r="AF44" s="3"/>
    </row>
    <row r="45" spans="2:32" s="58" customFormat="1" ht="12.75" customHeight="1" x14ac:dyDescent="0.2">
      <c r="B45" s="58" t="str">
        <f>B68</f>
        <v/>
      </c>
      <c r="D45" s="59"/>
      <c r="E45" s="59"/>
      <c r="F45" s="60"/>
      <c r="G45" s="59"/>
      <c r="I45" s="59"/>
      <c r="J45" s="59"/>
      <c r="K45" s="60"/>
      <c r="M45" s="59"/>
      <c r="N45" s="59"/>
      <c r="O45" s="60"/>
      <c r="Q45" s="59"/>
      <c r="R45" s="59"/>
      <c r="S45" s="60"/>
      <c r="U45" s="59"/>
      <c r="V45" s="59"/>
      <c r="W45" s="60"/>
      <c r="X45" s="59"/>
      <c r="Z45" s="59"/>
      <c r="AA45" s="59"/>
      <c r="AB45" s="60"/>
      <c r="AF45" s="61"/>
    </row>
    <row r="46" spans="2:32" s="58" customFormat="1" ht="12.75" customHeight="1" x14ac:dyDescent="0.2">
      <c r="B46" s="58" t="str">
        <f>B69</f>
        <v>Multi-state Bodily Injury Coverage Excludes Alabama, Arizona, Arkansas, Colorado, Connecticut, D.C., Delaware, Florida, Hawaii, Kansas, Kentucky, Massachusetts, Michigan, Minnesota, New Jersey, New York, North Dakota, Pennsylvania, Puerto Rico, Utah</v>
      </c>
      <c r="D46" s="59"/>
      <c r="E46" s="59"/>
      <c r="F46" s="60"/>
      <c r="G46" s="59"/>
      <c r="I46" s="59"/>
      <c r="J46" s="59"/>
      <c r="K46" s="60"/>
      <c r="M46" s="59"/>
      <c r="N46" s="59"/>
      <c r="O46" s="60"/>
      <c r="Q46" s="59"/>
      <c r="R46" s="59"/>
      <c r="S46" s="60"/>
      <c r="U46" s="59"/>
      <c r="V46" s="59"/>
      <c r="W46" s="60"/>
      <c r="X46" s="59"/>
      <c r="Z46" s="59"/>
      <c r="AA46" s="59"/>
      <c r="AB46" s="60"/>
      <c r="AF46" s="61"/>
    </row>
    <row r="47" spans="2:32" s="58" customFormat="1" ht="12.75" customHeight="1" x14ac:dyDescent="0.2">
      <c r="B47" s="58" t="str">
        <f>B70</f>
        <v>Multi-state PIP Coverage Includes Florida, Hawaii, Kansas, Kentucky, Massachusetts, Michigan, Minnesota, New York, North Dakota, Utah</v>
      </c>
      <c r="D47" s="59"/>
      <c r="E47" s="59"/>
      <c r="F47" s="60"/>
      <c r="G47" s="59"/>
      <c r="I47" s="59"/>
      <c r="J47" s="59"/>
      <c r="K47" s="60"/>
      <c r="M47" s="59"/>
      <c r="N47" s="59"/>
      <c r="O47" s="60"/>
      <c r="Q47" s="59"/>
      <c r="R47" s="59"/>
      <c r="S47" s="60"/>
      <c r="U47" s="59"/>
      <c r="V47" s="59"/>
      <c r="W47" s="60"/>
      <c r="X47" s="59"/>
      <c r="Z47" s="59"/>
      <c r="AA47" s="59"/>
      <c r="AB47" s="60"/>
      <c r="AF47" s="61"/>
    </row>
    <row r="48" spans="2:32" s="58" customFormat="1" ht="12.75" customHeight="1" x14ac:dyDescent="0.2">
      <c r="B48" s="58" t="str">
        <f>B71</f>
        <v>All Other Multi-state Coverages Exclude New Jersey</v>
      </c>
      <c r="D48" s="59"/>
      <c r="E48" s="59"/>
      <c r="F48" s="60"/>
      <c r="G48" s="59"/>
      <c r="I48" s="59"/>
      <c r="J48" s="59"/>
      <c r="K48" s="60"/>
      <c r="M48" s="59"/>
      <c r="N48" s="59"/>
      <c r="O48" s="60"/>
      <c r="Q48" s="59"/>
      <c r="R48" s="59"/>
      <c r="S48" s="60"/>
      <c r="U48" s="59"/>
      <c r="V48" s="59"/>
      <c r="W48" s="60"/>
      <c r="X48" s="59"/>
      <c r="Z48" s="59"/>
      <c r="AA48" s="59"/>
      <c r="AB48" s="60"/>
      <c r="AF48" s="61"/>
    </row>
    <row r="49" spans="2:32" x14ac:dyDescent="0.2">
      <c r="AF49" s="3"/>
    </row>
    <row r="50" spans="2:32" x14ac:dyDescent="0.2">
      <c r="B50" s="69" t="s">
        <v>83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AF50" s="3"/>
    </row>
    <row r="51" spans="2:32" x14ac:dyDescent="0.2">
      <c r="D51" s="65" t="s">
        <v>2</v>
      </c>
      <c r="E51" s="65"/>
      <c r="F51" s="65"/>
      <c r="G51" s="65"/>
      <c r="I51" s="65" t="s">
        <v>3</v>
      </c>
      <c r="J51" s="65"/>
      <c r="K51" s="65"/>
      <c r="M51" s="65" t="s">
        <v>4</v>
      </c>
      <c r="N51" s="65"/>
      <c r="O51" s="65"/>
      <c r="Q51" s="65" t="s">
        <v>5</v>
      </c>
      <c r="R51" s="65"/>
      <c r="S51" s="65"/>
      <c r="U51" s="65" t="str">
        <f>IF(PIP="","",IF(C1=FALSE,"","PIP"))</f>
        <v>PIP</v>
      </c>
      <c r="V51" s="65"/>
      <c r="W51" s="65"/>
      <c r="X51" s="65"/>
      <c r="Z51" s="65" t="str">
        <f>IF(_PPI1="","",PPI)</f>
        <v/>
      </c>
      <c r="AA51" s="65"/>
      <c r="AB51" s="65"/>
      <c r="AF51" s="3"/>
    </row>
    <row r="52" spans="2:32" x14ac:dyDescent="0.2">
      <c r="B52" s="32"/>
      <c r="C52" s="5"/>
      <c r="D52" s="6"/>
      <c r="E52" s="6" t="s">
        <v>7</v>
      </c>
      <c r="F52" s="7" t="s">
        <v>7</v>
      </c>
      <c r="G52" s="8" t="s">
        <v>8</v>
      </c>
      <c r="H52" s="5"/>
      <c r="I52" s="6"/>
      <c r="J52" s="6" t="s">
        <v>7</v>
      </c>
      <c r="K52" s="7" t="s">
        <v>7</v>
      </c>
      <c r="L52" s="5"/>
      <c r="M52" s="6"/>
      <c r="N52" s="6" t="s">
        <v>7</v>
      </c>
      <c r="O52" s="7" t="s">
        <v>7</v>
      </c>
      <c r="P52" s="5"/>
      <c r="Q52" s="6"/>
      <c r="R52" s="6" t="s">
        <v>7</v>
      </c>
      <c r="S52" s="7" t="s">
        <v>7</v>
      </c>
      <c r="U52" s="6"/>
      <c r="V52" s="6" t="str">
        <f>IF(PIP="","",IF(C1=FALSE,"","Paid"))</f>
        <v>Paid</v>
      </c>
      <c r="W52" s="7" t="str">
        <f>IF(PIP="","",IF(C1=FALSE,"","Paid"))</f>
        <v>Paid</v>
      </c>
      <c r="X52" s="6" t="str">
        <f>IF(PIP="","",IF(C1=FALSE,"","Arising"))</f>
        <v>Arising</v>
      </c>
      <c r="Z52" s="6"/>
      <c r="AA52" s="6" t="str">
        <f>IF(_PPI1="","","Paid")</f>
        <v/>
      </c>
      <c r="AB52" s="7" t="str">
        <f>IF(_PPI1="","","Paid")</f>
        <v/>
      </c>
      <c r="AF52" s="3"/>
    </row>
    <row r="53" spans="2:32" x14ac:dyDescent="0.2">
      <c r="B53" s="32"/>
      <c r="C53" s="5"/>
      <c r="D53" s="6" t="s">
        <v>10</v>
      </c>
      <c r="E53" s="6" t="s">
        <v>11</v>
      </c>
      <c r="F53" s="7" t="s">
        <v>11</v>
      </c>
      <c r="G53" s="6" t="s">
        <v>11</v>
      </c>
      <c r="H53" s="5"/>
      <c r="I53" s="6" t="s">
        <v>10</v>
      </c>
      <c r="J53" s="6" t="s">
        <v>11</v>
      </c>
      <c r="K53" s="7" t="s">
        <v>11</v>
      </c>
      <c r="L53" s="5"/>
      <c r="M53" s="6" t="s">
        <v>10</v>
      </c>
      <c r="N53" s="6" t="s">
        <v>11</v>
      </c>
      <c r="O53" s="7" t="s">
        <v>11</v>
      </c>
      <c r="P53" s="5"/>
      <c r="Q53" s="6" t="s">
        <v>10</v>
      </c>
      <c r="R53" s="6" t="s">
        <v>11</v>
      </c>
      <c r="S53" s="7" t="s">
        <v>11</v>
      </c>
      <c r="U53" s="6" t="str">
        <f>IF(PIP="","",IF(C1=FALSE,"","Pure"))</f>
        <v>Pure</v>
      </c>
      <c r="V53" s="6" t="str">
        <f>IF(PIP="","",IF(C1=FALSE,"","Claim"))</f>
        <v>Claim</v>
      </c>
      <c r="W53" s="7" t="str">
        <f>IF(PIP="","",IF(C1=FALSE,"","Claim"))</f>
        <v>Claim</v>
      </c>
      <c r="X53" s="6" t="str">
        <f>IF(PIP="","",IF(C1=FALSE,"","Claim"))</f>
        <v>Claim</v>
      </c>
      <c r="Z53" s="6" t="str">
        <f>IF(_PPI1="","","Pure")</f>
        <v/>
      </c>
      <c r="AA53" s="6" t="str">
        <f>IF(_PPI1="","","Claim")</f>
        <v/>
      </c>
      <c r="AB53" s="7" t="str">
        <f>IF(_PPI1="","","Claim")</f>
        <v/>
      </c>
      <c r="AF53" s="3"/>
    </row>
    <row r="54" spans="2:32" x14ac:dyDescent="0.2">
      <c r="B54" s="33"/>
      <c r="C54" s="5"/>
      <c r="D54" s="9" t="s">
        <v>55</v>
      </c>
      <c r="E54" s="9" t="s">
        <v>13</v>
      </c>
      <c r="F54" s="10" t="s">
        <v>22</v>
      </c>
      <c r="G54" s="9" t="s">
        <v>13</v>
      </c>
      <c r="H54" s="5"/>
      <c r="I54" s="9" t="s">
        <v>55</v>
      </c>
      <c r="J54" s="9" t="s">
        <v>13</v>
      </c>
      <c r="K54" s="10" t="s">
        <v>22</v>
      </c>
      <c r="L54" s="5"/>
      <c r="M54" s="9" t="s">
        <v>55</v>
      </c>
      <c r="N54" s="9" t="s">
        <v>13</v>
      </c>
      <c r="O54" s="10" t="s">
        <v>22</v>
      </c>
      <c r="P54" s="5"/>
      <c r="Q54" s="9" t="s">
        <v>55</v>
      </c>
      <c r="R54" s="9" t="s">
        <v>13</v>
      </c>
      <c r="S54" s="10" t="s">
        <v>22</v>
      </c>
      <c r="U54" s="9" t="str">
        <f>IF(PIP="","",IF(C1=FALSE,"","Premium($)"))</f>
        <v>Premium($)</v>
      </c>
      <c r="V54" s="9" t="str">
        <f>IF(PIP="","",IF(C1=FALSE,"","Freq.*"))</f>
        <v>Freq.*</v>
      </c>
      <c r="W54" s="10" t="str">
        <f>IF(PIP="","",IF(C1=FALSE,"","Cost($)"))</f>
        <v>Cost($)</v>
      </c>
      <c r="X54" s="9" t="str">
        <f>IF(PIP="","",IF(C1=FALSE,"","Freq.*"))</f>
        <v>Freq.*</v>
      </c>
      <c r="Z54" s="9" t="str">
        <f>IF(_PPI1="","","Premium($)")</f>
        <v/>
      </c>
      <c r="AA54" s="9" t="str">
        <f>IF(_PPI1="","","Freq.*")</f>
        <v/>
      </c>
      <c r="AB54" s="10" t="str">
        <f>IF(_PPI1="","","Cost($)")</f>
        <v/>
      </c>
      <c r="AF54" s="3"/>
    </row>
    <row r="55" spans="2:32" x14ac:dyDescent="0.2">
      <c r="AF55" s="3"/>
    </row>
    <row r="56" spans="2:32" x14ac:dyDescent="0.2">
      <c r="B56" s="13" t="s">
        <v>80</v>
      </c>
      <c r="AF56" s="3"/>
    </row>
    <row r="57" spans="2:32" x14ac:dyDescent="0.2">
      <c r="B57" t="s">
        <v>15</v>
      </c>
      <c r="D57" s="63">
        <f>VLOOKUP("LR-Sqr"&amp;LEFT($B57,1)&amp;"BI"&amp;State,Sheet5!$M$2:$Q$225,2,FALSE)</f>
        <v>0.71953275857651</v>
      </c>
      <c r="E57" s="63">
        <f>VLOOKUP("LR-Sqr"&amp;LEFT($B57,1)&amp;"BI"&amp;State,Sheet5!$M$2:$Q$225,3,FALSE)</f>
        <v>0.99763778179722529</v>
      </c>
      <c r="F57" s="63">
        <f>VLOOKUP("LR-Sqr"&amp;LEFT($B57,1)&amp;"BI"&amp;State,Sheet5!$M$2:$Q$225,4,FALSE)</f>
        <v>0.97374972890852829</v>
      </c>
      <c r="G57" s="63">
        <f>VLOOKUP("LR-Sqr"&amp;LEFT($B57,1)&amp;"BI"&amp;State,Sheet5!$M$2:$Q$225,5,FALSE)</f>
        <v>0.97215765628637429</v>
      </c>
      <c r="H57" s="63"/>
      <c r="I57" s="63">
        <f>VLOOKUP("LR-Sqr"&amp;LEFT($B57,1)&amp;"PD"&amp;State,Sheet5!$M$2:$Q$225,2,FALSE)</f>
        <v>0.96388403910750742</v>
      </c>
      <c r="J57" s="63">
        <f>VLOOKUP("LR-Sqr"&amp;LEFT($B57,1)&amp;"PD"&amp;State,Sheet5!$M$2:$Q$225,3,FALSE)</f>
        <v>0.95287270559425064</v>
      </c>
      <c r="K57" s="63">
        <f>VLOOKUP("LR-Sqr"&amp;LEFT($B57,1)&amp;"PD"&amp;State,Sheet5!$M$2:$Q$225,4,FALSE)</f>
        <v>0.91593637824242713</v>
      </c>
      <c r="L57" s="63"/>
      <c r="M57" s="63">
        <f>VLOOKUP("LR-Sqr"&amp;LEFT($B57,1)&amp;"COMP"&amp;State,Sheet5!$M$2:$Q$225,2,FALSE)</f>
        <v>0.7433648562836187</v>
      </c>
      <c r="N57" s="63">
        <f>VLOOKUP("LR-Sqr"&amp;LEFT($B57,1)&amp;"COMP"&amp;State,Sheet5!$M$2:$Q$225,3,FALSE)</f>
        <v>0.52859571267394079</v>
      </c>
      <c r="O57" s="63">
        <f>VLOOKUP("LR-Sqr"&amp;LEFT($B57,1)&amp;"COMP"&amp;State,Sheet5!$M$2:$Q$225,4,FALSE)</f>
        <v>0.80511953344894993</v>
      </c>
      <c r="P57" s="63"/>
      <c r="Q57" s="63">
        <f>VLOOKUP("LR-Sqr"&amp;LEFT($B57,1)&amp;"COLL"&amp;State,Sheet5!$M$2:$Q$225,2,FALSE)</f>
        <v>0.99696166146371701</v>
      </c>
      <c r="R57" s="63">
        <f>VLOOKUP("LR-Sqr"&amp;LEFT($B57,1)&amp;"COLL"&amp;State,Sheet5!$M$2:$Q$225,3,FALSE)</f>
        <v>0.96833984554017905</v>
      </c>
      <c r="S57" s="63">
        <f>VLOOKUP("LR-Sqr"&amp;LEFT($B57,1)&amp;"COLL"&amp;State,Sheet5!$M$2:$Q$225,4,FALSE)</f>
        <v>0.58039538894421772</v>
      </c>
      <c r="T57" s="63"/>
      <c r="U57" s="63">
        <f>IF(PIP="","",IF($C$1=FALSE,"",VLOOKUP("LR-Sqr"&amp;LEFT($B57,1)&amp;"PIP"&amp;State,Sheet5!$M$2:$Q$225,2,FALSE)))</f>
        <v>0.45401555261338694</v>
      </c>
      <c r="V57" s="63">
        <f>IF(PIP="","",IF($C$1=FALSE,"",VLOOKUP("LR-Sqr"&amp;LEFT($B57,1)&amp;"PIP"&amp;State,Sheet5!$M$2:$Q$225,3,FALSE)))</f>
        <v>0.80905170808725246</v>
      </c>
      <c r="W57" s="63">
        <f>IF(PIP="","",IF($C$1=FALSE,"",VLOOKUP("LR-Sqr"&amp;LEFT($B57,1)&amp;"PIP"&amp;State,Sheet5!$M$2:$Q$225,4,FALSE)))</f>
        <v>0.96915070937412828</v>
      </c>
      <c r="X57" s="63">
        <f>IF(PIP="","",IF($C$1=FALSE,"",VLOOKUP("LR-Sqr"&amp;LEFT($B57,1)&amp;"PIP"&amp;State,Sheet5!$M$2:$Q$225,5,FALSE)))</f>
        <v>0.81390657259016175</v>
      </c>
      <c r="Y57" s="63"/>
      <c r="Z57" s="63" t="str">
        <f>IF(_PPI1="","",VLOOKUP("LR-Sqr"&amp;LEFT($B57,1)&amp;"PPI"&amp;State,Sheet5!$M$2:$Q$225,2,FALSE))</f>
        <v/>
      </c>
      <c r="AA57" s="63" t="str">
        <f>IF(_PPI1="","",VLOOKUP("LR-Sqr"&amp;LEFT($B57,1)&amp;"PPI"&amp;State,Sheet5!$M$2:$Q$225,3,FALSE))</f>
        <v/>
      </c>
      <c r="AB57" s="63" t="str">
        <f>IF(_PPI1="","",VLOOKUP("LR-Sqr"&amp;LEFT($B57,1)&amp;"PPI"&amp;State,Sheet5!$M$2:$Q$225,4,FALSE))</f>
        <v/>
      </c>
      <c r="AF57" s="3"/>
    </row>
    <row r="58" spans="2:32" x14ac:dyDescent="0.2">
      <c r="B58" t="s">
        <v>16</v>
      </c>
      <c r="D58" s="63">
        <f>VLOOKUP("LR-Sqr"&amp;LEFT($B58,1)&amp;"BI"&amp;State,Sheet5!$M$2:$Q$225,2,FALSE)</f>
        <v>0.95596465670434061</v>
      </c>
      <c r="E58" s="63">
        <f>VLOOKUP("LR-Sqr"&amp;LEFT($B58,1)&amp;"BI"&amp;State,Sheet5!$M$2:$Q$225,3,FALSE)</f>
        <v>0.99302487917851112</v>
      </c>
      <c r="F58" s="63">
        <f>VLOOKUP("LR-Sqr"&amp;LEFT($B58,1)&amp;"BI"&amp;State,Sheet5!$M$2:$Q$225,4,FALSE)</f>
        <v>0.996361630805223</v>
      </c>
      <c r="G58" s="63">
        <f>VLOOKUP("LR-Sqr"&amp;LEFT($B58,1)&amp;"BI"&amp;State,Sheet5!$M$2:$Q$225,5,FALSE)</f>
        <v>0.98888194750740754</v>
      </c>
      <c r="H58" s="63"/>
      <c r="I58" s="63">
        <f>VLOOKUP("LR-Sqr"&amp;LEFT($B58,1)&amp;"PD"&amp;State,Sheet5!$M$2:$Q$225,2,FALSE)</f>
        <v>6.3777887040029152E-2</v>
      </c>
      <c r="J58" s="63">
        <f>VLOOKUP("LR-Sqr"&amp;LEFT($B58,1)&amp;"PD"&amp;State,Sheet5!$M$2:$Q$225,3,FALSE)</f>
        <v>0.73450557650730564</v>
      </c>
      <c r="K58" s="63">
        <f>VLOOKUP("LR-Sqr"&amp;LEFT($B58,1)&amp;"PD"&amp;State,Sheet5!$M$2:$Q$225,4,FALSE)</f>
        <v>0.98533858447921785</v>
      </c>
      <c r="L58" s="63"/>
      <c r="M58" s="63">
        <f>VLOOKUP("LR-Sqr"&amp;LEFT($B58,1)&amp;"COMP"&amp;State,Sheet5!$M$2:$Q$225,2,FALSE)</f>
        <v>0.84294459690323931</v>
      </c>
      <c r="N58" s="63">
        <f>VLOOKUP("LR-Sqr"&amp;LEFT($B58,1)&amp;"COMP"&amp;State,Sheet5!$M$2:$Q$225,3,FALSE)</f>
        <v>0.27709051968142712</v>
      </c>
      <c r="O58" s="63">
        <f>VLOOKUP("LR-Sqr"&amp;LEFT($B58,1)&amp;"COMP"&amp;State,Sheet5!$M$2:$Q$225,4,FALSE)</f>
        <v>0.894139508226652</v>
      </c>
      <c r="P58" s="63"/>
      <c r="Q58" s="63">
        <f>VLOOKUP("LR-Sqr"&amp;LEFT($B58,1)&amp;"COLL"&amp;State,Sheet5!$M$2:$Q$225,2,FALSE)</f>
        <v>0.37003335916158508</v>
      </c>
      <c r="R58" s="63">
        <f>VLOOKUP("LR-Sqr"&amp;LEFT($B58,1)&amp;"COLL"&amp;State,Sheet5!$M$2:$Q$225,3,FALSE)</f>
        <v>0.54293502035913144</v>
      </c>
      <c r="S58" s="63">
        <f>VLOOKUP("LR-Sqr"&amp;LEFT($B58,1)&amp;"COLL"&amp;State,Sheet5!$M$2:$Q$225,4,FALSE)</f>
        <v>2.8245779627440112E-3</v>
      </c>
      <c r="T58" s="63"/>
      <c r="U58" s="63">
        <f>IF(PIP="","",IF($C$1=FALSE,"",VLOOKUP("LR-Sqr"&amp;LEFT($B58,1)&amp;"PIP"&amp;State,Sheet5!$M$2:$Q$225,2,FALSE)))</f>
        <v>0.64756234107766952</v>
      </c>
      <c r="V58" s="63">
        <f>IF(PIP="","",IF($C$1=FALSE,"",VLOOKUP("LR-Sqr"&amp;LEFT($B58,1)&amp;"PIP"&amp;State,Sheet5!$M$2:$Q$225,3,FALSE)))</f>
        <v>0.91706058480826946</v>
      </c>
      <c r="W58" s="63">
        <f>IF(PIP="","",IF($C$1=FALSE,"",VLOOKUP("LR-Sqr"&amp;LEFT($B58,1)&amp;"PIP"&amp;State,Sheet5!$M$2:$Q$225,4,FALSE)))</f>
        <v>0.98603662165039307</v>
      </c>
      <c r="X58" s="63">
        <f>IF(PIP="","",IF($C$1=FALSE,"",VLOOKUP("LR-Sqr"&amp;LEFT($B58,1)&amp;"PIP"&amp;State,Sheet5!$M$2:$Q$225,5,FALSE)))</f>
        <v>0.80721615006400549</v>
      </c>
      <c r="Y58" s="63"/>
      <c r="Z58" s="63" t="str">
        <f>IF(_PPI1="","",VLOOKUP("LR-Sqr"&amp;LEFT($B58,1)&amp;"PPI"&amp;State,Sheet5!$M$2:$Q$225,2,FALSE))</f>
        <v/>
      </c>
      <c r="AA58" s="63" t="str">
        <f>IF(_PPI1="","",VLOOKUP("LR-Sqr"&amp;LEFT($B58,1)&amp;"PPI"&amp;State,Sheet5!$M$2:$Q$225,3,FALSE))</f>
        <v/>
      </c>
      <c r="AB58" s="63" t="str">
        <f>IF(_PPI1="","",VLOOKUP("LR-Sqr"&amp;LEFT($B58,1)&amp;"PPI"&amp;State,Sheet5!$M$2:$Q$225,4,FALSE))</f>
        <v/>
      </c>
      <c r="AF58" s="3"/>
    </row>
    <row r="59" spans="2:32" x14ac:dyDescent="0.2">
      <c r="B59" t="s">
        <v>17</v>
      </c>
      <c r="D59" s="63">
        <f>VLOOKUP("LR-Sqr"&amp;LEFT($B59,1)&amp;"BI"&amp;State,Sheet5!$M$2:$Q$225,2,FALSE)</f>
        <v>0.97006681379438997</v>
      </c>
      <c r="E59" s="63">
        <f>VLOOKUP("LR-Sqr"&amp;LEFT($B59,1)&amp;"BI"&amp;State,Sheet5!$M$2:$Q$225,3,FALSE)</f>
        <v>0.99528265114486869</v>
      </c>
      <c r="F59" s="63">
        <f>VLOOKUP("LR-Sqr"&amp;LEFT($B59,1)&amp;"BI"&amp;State,Sheet5!$M$2:$Q$225,4,FALSE)</f>
        <v>0.9979776742603812</v>
      </c>
      <c r="G59" s="63">
        <f>VLOOKUP("LR-Sqr"&amp;LEFT($B59,1)&amp;"BI"&amp;State,Sheet5!$M$2:$Q$225,5,FALSE)</f>
        <v>0.98449316033879175</v>
      </c>
      <c r="H59" s="63"/>
      <c r="I59" s="63">
        <f>VLOOKUP("LR-Sqr"&amp;LEFT($B59,1)&amp;"PD"&amp;State,Sheet5!$M$2:$Q$225,2,FALSE)</f>
        <v>0.41419918195223188</v>
      </c>
      <c r="J59" s="63">
        <f>VLOOKUP("LR-Sqr"&amp;LEFT($B59,1)&amp;"PD"&amp;State,Sheet5!$M$2:$Q$225,3,FALSE)</f>
        <v>0.51603759301569874</v>
      </c>
      <c r="K59" s="63">
        <f>VLOOKUP("LR-Sqr"&amp;LEFT($B59,1)&amp;"PD"&amp;State,Sheet5!$M$2:$Q$225,4,FALSE)</f>
        <v>0.9856727084314808</v>
      </c>
      <c r="L59" s="63"/>
      <c r="M59" s="63">
        <f>VLOOKUP("LR-Sqr"&amp;LEFT($B59,1)&amp;"COMP"&amp;State,Sheet5!$M$2:$Q$225,2,FALSE)</f>
        <v>7.1308241869734695E-2</v>
      </c>
      <c r="N59" s="63">
        <f>VLOOKUP("LR-Sqr"&amp;LEFT($B59,1)&amp;"COMP"&amp;State,Sheet5!$M$2:$Q$225,3,FALSE)</f>
        <v>0.54834829714827804</v>
      </c>
      <c r="O59" s="63">
        <f>VLOOKUP("LR-Sqr"&amp;LEFT($B59,1)&amp;"COMP"&amp;State,Sheet5!$M$2:$Q$225,4,FALSE)</f>
        <v>0.10268900044105168</v>
      </c>
      <c r="P59" s="63"/>
      <c r="Q59" s="63">
        <f>VLOOKUP("LR-Sqr"&amp;LEFT($B59,1)&amp;"COLL"&amp;State,Sheet5!$M$2:$Q$225,2,FALSE)</f>
        <v>2.7450585070437915E-2</v>
      </c>
      <c r="R59" s="63">
        <f>VLOOKUP("LR-Sqr"&amp;LEFT($B59,1)&amp;"COLL"&amp;State,Sheet5!$M$2:$Q$225,3,FALSE)</f>
        <v>1.2988363024857057E-2</v>
      </c>
      <c r="S59" s="63">
        <f>VLOOKUP("LR-Sqr"&amp;LEFT($B59,1)&amp;"COLL"&amp;State,Sheet5!$M$2:$Q$225,4,FALSE)</f>
        <v>0.35447627438273077</v>
      </c>
      <c r="T59" s="63"/>
      <c r="U59" s="63">
        <f>IF(PIP="","",IF($C$1=FALSE,"",VLOOKUP("LR-Sqr"&amp;LEFT($B59,1)&amp;"PIP"&amp;State,Sheet5!$M$2:$Q$225,2,FALSE)))</f>
        <v>0.66172916873392895</v>
      </c>
      <c r="V59" s="63">
        <f>IF(PIP="","",IF($C$1=FALSE,"",VLOOKUP("LR-Sqr"&amp;LEFT($B59,1)&amp;"PIP"&amp;State,Sheet5!$M$2:$Q$225,3,FALSE)))</f>
        <v>0.95378656610292856</v>
      </c>
      <c r="W59" s="63">
        <f>IF(PIP="","",IF($C$1=FALSE,"",VLOOKUP("LR-Sqr"&amp;LEFT($B59,1)&amp;"PIP"&amp;State,Sheet5!$M$2:$Q$225,4,FALSE)))</f>
        <v>0.99275107639265803</v>
      </c>
      <c r="X59" s="63">
        <f>IF(PIP="","",IF($C$1=FALSE,"",VLOOKUP("LR-Sqr"&amp;LEFT($B59,1)&amp;"PIP"&amp;State,Sheet5!$M$2:$Q$225,5,FALSE)))</f>
        <v>0.82504437575726164</v>
      </c>
      <c r="Y59" s="63"/>
      <c r="Z59" s="63" t="str">
        <f>IF(_PPI1="","",VLOOKUP("LR-Sqr"&amp;LEFT($B59,1)&amp;"PPI"&amp;State,Sheet5!$M$2:$Q$225,2,FALSE))</f>
        <v/>
      </c>
      <c r="AA59" s="63" t="str">
        <f>IF(_PPI1="","",VLOOKUP("LR-Sqr"&amp;LEFT($B59,1)&amp;"PPI"&amp;State,Sheet5!$M$2:$Q$225,3,FALSE))</f>
        <v/>
      </c>
      <c r="AB59" s="63" t="str">
        <f>IF(_PPI1="","",VLOOKUP("LR-Sqr"&amp;LEFT($B59,1)&amp;"PPI"&amp;State,Sheet5!$M$2:$Q$225,4,FALSE))</f>
        <v/>
      </c>
      <c r="AF59" s="3"/>
    </row>
    <row r="60" spans="2:32" x14ac:dyDescent="0.2">
      <c r="B60" s="38" t="s">
        <v>37</v>
      </c>
      <c r="D60" s="63">
        <f>VLOOKUP("LR-Sqr"&amp;LEFT($B60,1)&amp;"BI"&amp;State,Sheet5!$M$2:$Q$225,2,FALSE)</f>
        <v>0.62194698891974876</v>
      </c>
      <c r="E60" s="63">
        <f>VLOOKUP("LR-Sqr"&amp;LEFT($B60,1)&amp;"BI"&amp;State,Sheet5!$M$2:$Q$225,3,FALSE)</f>
        <v>0.99333422285364215</v>
      </c>
      <c r="F60" s="63">
        <f>VLOOKUP("LR-Sqr"&amp;LEFT($B60,1)&amp;"BI"&amp;State,Sheet5!$M$2:$Q$225,4,FALSE)</f>
        <v>0.98760906468613152</v>
      </c>
      <c r="G60" s="63">
        <f>VLOOKUP("LR-Sqr"&amp;LEFT($B60,1)&amp;"BI"&amp;State,Sheet5!$M$2:$Q$225,5,FALSE)</f>
        <v>0.99292799627369033</v>
      </c>
      <c r="H60" s="63"/>
      <c r="I60" s="63">
        <f>VLOOKUP("LR-Sqr"&amp;LEFT($B60,1)&amp;"PD"&amp;State,Sheet5!$M$2:$Q$225,2,FALSE)</f>
        <v>0.55831882151527712</v>
      </c>
      <c r="J60" s="63">
        <f>VLOOKUP("LR-Sqr"&amp;LEFT($B60,1)&amp;"PD"&amp;State,Sheet5!$M$2:$Q$225,3,FALSE)</f>
        <v>0.79198970117523493</v>
      </c>
      <c r="K60" s="63">
        <f>VLOOKUP("LR-Sqr"&amp;LEFT($B60,1)&amp;"PD"&amp;State,Sheet5!$M$2:$Q$225,4,FALSE)</f>
        <v>0.97428157438755636</v>
      </c>
      <c r="L60" s="63"/>
      <c r="M60" s="63">
        <f>VLOOKUP("LR-Sqr"&amp;LEFT($B60,1)&amp;"COMP"&amp;State,Sheet5!$M$2:$Q$225,2,FALSE)</f>
        <v>8.4568065176274854E-2</v>
      </c>
      <c r="N60" s="63">
        <f>VLOOKUP("LR-Sqr"&amp;LEFT($B60,1)&amp;"COMP"&amp;State,Sheet5!$M$2:$Q$225,3,FALSE)</f>
        <v>0.80180939267075113</v>
      </c>
      <c r="O60" s="63">
        <f>VLOOKUP("LR-Sqr"&amp;LEFT($B60,1)&amp;"COMP"&amp;State,Sheet5!$M$2:$Q$225,4,FALSE)</f>
        <v>0.36284652452106975</v>
      </c>
      <c r="P60" s="63"/>
      <c r="Q60" s="63">
        <f>VLOOKUP("LR-Sqr"&amp;LEFT($B60,1)&amp;"COLL"&amp;State,Sheet5!$M$2:$Q$225,2,FALSE)</f>
        <v>0.12701561369503625</v>
      </c>
      <c r="R60" s="63">
        <f>VLOOKUP("LR-Sqr"&amp;LEFT($B60,1)&amp;"COLL"&amp;State,Sheet5!$M$2:$Q$225,3,FALSE)</f>
        <v>0.42317663698798313</v>
      </c>
      <c r="S60" s="63">
        <f>VLOOKUP("LR-Sqr"&amp;LEFT($B60,1)&amp;"COLL"&amp;State,Sheet5!$M$2:$Q$225,4,FALSE)</f>
        <v>0.69780910031300913</v>
      </c>
      <c r="T60" s="63"/>
      <c r="U60" s="63">
        <f>IF(PIP="","",IF($C$1=FALSE,"",VLOOKUP("LR-Sqr"&amp;LEFT($B60,1)&amp;"PIP"&amp;State,Sheet5!$M$2:$Q$225,2,FALSE)))</f>
        <v>5.9778018083840824E-3</v>
      </c>
      <c r="V60" s="63">
        <f>IF(PIP="","",IF($C$1=FALSE,"",VLOOKUP("LR-Sqr"&amp;LEFT($B60,1)&amp;"PIP"&amp;State,Sheet5!$M$2:$Q$225,3,FALSE)))</f>
        <v>0.97510745154553691</v>
      </c>
      <c r="W60" s="63">
        <f>IF(PIP="","",IF($C$1=FALSE,"",VLOOKUP("LR-Sqr"&amp;LEFT($B60,1)&amp;"PIP"&amp;State,Sheet5!$M$2:$Q$225,4,FALSE)))</f>
        <v>0.92083701118276673</v>
      </c>
      <c r="X60" s="63">
        <f>IF(PIP="","",IF($C$1=FALSE,"",VLOOKUP("LR-Sqr"&amp;LEFT($B60,1)&amp;"PIP"&amp;State,Sheet5!$M$2:$Q$225,5,FALSE)))</f>
        <v>0.85543656620267927</v>
      </c>
      <c r="Y60" s="63"/>
      <c r="Z60" s="63" t="str">
        <f>IF(_PPI1="","",VLOOKUP("LR-Sqr"&amp;LEFT($B60,1)&amp;"PPI"&amp;State,Sheet5!$M$2:$Q$225,2,FALSE))</f>
        <v/>
      </c>
      <c r="AA60" s="63" t="str">
        <f>IF(_PPI1="","",VLOOKUP("LR-Sqr"&amp;LEFT($B60,1)&amp;"PPI"&amp;State,Sheet5!$M$2:$Q$225,3,FALSE))</f>
        <v/>
      </c>
      <c r="AB60" s="63" t="str">
        <f>IF(_PPI1="","",VLOOKUP("LR-Sqr"&amp;LEFT($B60,1)&amp;"PPI"&amp;State,Sheet5!$M$2:$Q$225,4,FALSE))</f>
        <v/>
      </c>
      <c r="AF60" s="3"/>
    </row>
    <row r="62" spans="2:32" x14ac:dyDescent="0.2">
      <c r="B62" s="13" t="s">
        <v>81</v>
      </c>
    </row>
    <row r="63" spans="2:32" x14ac:dyDescent="0.2">
      <c r="B63" t="s">
        <v>15</v>
      </c>
      <c r="D63" s="63">
        <f>VLOOKUP("ER-Sqr"&amp;LEFT($B63,1)&amp;"BI"&amp;State,Sheet5!$M$2:$Q$225,2,FALSE)</f>
        <v>0.71840533946558638</v>
      </c>
      <c r="E63" s="63">
        <f>VLOOKUP("ER-Sqr"&amp;LEFT($B63,1)&amp;"BI"&amp;State,Sheet5!$M$2:$Q$225,3,FALSE)</f>
        <v>0.99768096347972468</v>
      </c>
      <c r="F63" s="63">
        <f>VLOOKUP("ER-Sqr"&amp;LEFT($B63,1)&amp;"BI"&amp;State,Sheet5!$M$2:$Q$225,4,FALSE)</f>
        <v>0.97221940706918786</v>
      </c>
      <c r="G63" s="63">
        <f>VLOOKUP("ER-Sqr"&amp;LEFT($B63,1)&amp;"BI"&amp;State,Sheet5!$M$2:$Q$225,5,FALSE)</f>
        <v>0.97500519040806288</v>
      </c>
      <c r="H63" s="63"/>
      <c r="I63" s="63">
        <f>VLOOKUP("ER-Sqr"&amp;LEFT($B63,1)&amp;"PD"&amp;State,Sheet5!$M$2:$Q$225,2,FALSE)</f>
        <v>0.96424445212084975</v>
      </c>
      <c r="J63" s="63">
        <f>VLOOKUP("ER-Sqr"&amp;LEFT($B63,1)&amp;"PD"&amp;State,Sheet5!$M$2:$Q$225,3,FALSE)</f>
        <v>0.95383885975553906</v>
      </c>
      <c r="K63" s="63">
        <f>VLOOKUP("ER-Sqr"&amp;LEFT($B63,1)&amp;"PD"&amp;State,Sheet5!$M$2:$Q$225,4,FALSE)</f>
        <v>0.91535717452872101</v>
      </c>
      <c r="L63" s="63"/>
      <c r="M63" s="63">
        <f>VLOOKUP("ER-Sqr"&amp;LEFT($B63,1)&amp;"COMP"&amp;State,Sheet5!$M$2:$Q$225,2,FALSE)</f>
        <v>0.73746428581934764</v>
      </c>
      <c r="N63" s="63">
        <f>VLOOKUP("ER-Sqr"&amp;LEFT($B63,1)&amp;"COMP"&amp;State,Sheet5!$M$2:$Q$225,3,FALSE)</f>
        <v>0.5281553682706327</v>
      </c>
      <c r="O63" s="63">
        <f>VLOOKUP("ER-Sqr"&amp;LEFT($B63,1)&amp;"COMP"&amp;State,Sheet5!$M$2:$Q$225,4,FALSE)</f>
        <v>0.79938989153526696</v>
      </c>
      <c r="P63" s="63"/>
      <c r="Q63" s="63">
        <f>VLOOKUP("ER-Sqr"&amp;LEFT($B63,1)&amp;"COLL"&amp;State,Sheet5!$M$2:$Q$225,2,FALSE)</f>
        <v>0.99710846006509612</v>
      </c>
      <c r="R63" s="63">
        <f>VLOOKUP("ER-Sqr"&amp;LEFT($B63,1)&amp;"COLL"&amp;State,Sheet5!$M$2:$Q$225,3,FALSE)</f>
        <v>0.96919211981650877</v>
      </c>
      <c r="S63" s="63">
        <f>VLOOKUP("ER-Sqr"&amp;LEFT($B63,1)&amp;"COLL"&amp;State,Sheet5!$M$2:$Q$225,4,FALSE)</f>
        <v>0.57995614305120546</v>
      </c>
      <c r="T63" s="63"/>
      <c r="U63" s="63">
        <f>IF(PIP="","",IF($C$1=FALSE,"",VLOOKUP("ER-Sqr"&amp;LEFT($B63,1)&amp;"PIP"&amp;State,Sheet5!$M$2:$Q$225,2,FALSE)))</f>
        <v>0.4567529108045339</v>
      </c>
      <c r="V63" s="63">
        <f>IF(PIP="","",IF($C$1=FALSE,"",VLOOKUP("ER-Sqr"&amp;LEFT($B63,1)&amp;"PIP"&amp;State,Sheet5!$M$2:$Q$225,3,FALSE)))</f>
        <v>0.81218350941015205</v>
      </c>
      <c r="W63" s="63">
        <f>IF(PIP="","",IF($C$1=FALSE,"",VLOOKUP("ER-Sqr"&amp;LEFT($B63,1)&amp;"PIP"&amp;State,Sheet5!$M$2:$Q$225,4,FALSE)))</f>
        <v>0.97133347851568475</v>
      </c>
      <c r="X63" s="63">
        <f>IF(PIP="","",IF($C$1=FALSE,"",VLOOKUP("ER-Sqr"&amp;LEFT($B63,1)&amp;"PIP"&amp;State,Sheet5!$M$2:$Q$225,5,FALSE)))</f>
        <v>0.8165885210011844</v>
      </c>
      <c r="Y63" s="63"/>
      <c r="Z63" s="63" t="str">
        <f>IF(_PPI1="","",VLOOKUP("ER-Sqr"&amp;LEFT($B63,1)&amp;"PPI"&amp;State,Sheet5!$M$2:$Q$225,2,FALSE))</f>
        <v/>
      </c>
      <c r="AA63" s="63" t="str">
        <f>IF(_PPI1="","",VLOOKUP("ER-Sqr"&amp;LEFT($B63,1)&amp;"PPI"&amp;State,Sheet5!$M$2:$Q$225,3,FALSE))</f>
        <v/>
      </c>
      <c r="AB63" s="63" t="str">
        <f>IF(_PPI1="","",VLOOKUP("ER-Sqr"&amp;LEFT($B63,1)&amp;"PPI"&amp;State,Sheet5!$M$2:$Q$225,4,FALSE))</f>
        <v/>
      </c>
    </row>
    <row r="64" spans="2:32" x14ac:dyDescent="0.2">
      <c r="B64" t="s">
        <v>16</v>
      </c>
      <c r="D64" s="63">
        <f>VLOOKUP("ER-Sqr"&amp;LEFT($B64,1)&amp;"BI"&amp;State,Sheet5!$M$2:$Q$225,2,FALSE)</f>
        <v>0.95587994994335412</v>
      </c>
      <c r="E64" s="63">
        <f>VLOOKUP("ER-Sqr"&amp;LEFT($B64,1)&amp;"BI"&amp;State,Sheet5!$M$2:$Q$225,3,FALSE)</f>
        <v>0.99436029080074306</v>
      </c>
      <c r="F64" s="63">
        <f>VLOOKUP("ER-Sqr"&amp;LEFT($B64,1)&amp;"BI"&amp;State,Sheet5!$M$2:$Q$225,4,FALSE)</f>
        <v>0.99521590250735037</v>
      </c>
      <c r="G64" s="63">
        <f>VLOOKUP("ER-Sqr"&amp;LEFT($B64,1)&amp;"BI"&amp;State,Sheet5!$M$2:$Q$225,5,FALSE)</f>
        <v>0.98629453345081719</v>
      </c>
      <c r="H64" s="63"/>
      <c r="I64" s="63">
        <f>VLOOKUP("ER-Sqr"&amp;LEFT($B64,1)&amp;"PD"&amp;State,Sheet5!$M$2:$Q$225,2,FALSE)</f>
        <v>6.3348191077091151E-2</v>
      </c>
      <c r="J64" s="63">
        <f>VLOOKUP("ER-Sqr"&amp;LEFT($B64,1)&amp;"PD"&amp;State,Sheet5!$M$2:$Q$225,3,FALSE)</f>
        <v>0.73010771477619463</v>
      </c>
      <c r="K64" s="63">
        <f>VLOOKUP("ER-Sqr"&amp;LEFT($B64,1)&amp;"PD"&amp;State,Sheet5!$M$2:$Q$225,4,FALSE)</f>
        <v>0.98462461997488193</v>
      </c>
      <c r="L64" s="63"/>
      <c r="M64" s="63">
        <f>VLOOKUP("ER-Sqr"&amp;LEFT($B64,1)&amp;"COMP"&amp;State,Sheet5!$M$2:$Q$225,2,FALSE)</f>
        <v>0.84814489609199029</v>
      </c>
      <c r="N64" s="63">
        <f>VLOOKUP("ER-Sqr"&amp;LEFT($B64,1)&amp;"COMP"&amp;State,Sheet5!$M$2:$Q$225,3,FALSE)</f>
        <v>0.27735231355529089</v>
      </c>
      <c r="O64" s="63">
        <f>VLOOKUP("ER-Sqr"&amp;LEFT($B64,1)&amp;"COMP"&amp;State,Sheet5!$M$2:$Q$225,4,FALSE)</f>
        <v>0.89903937855204663</v>
      </c>
      <c r="P64" s="63"/>
      <c r="Q64" s="63">
        <f>VLOOKUP("ER-Sqr"&amp;LEFT($B64,1)&amp;"COLL"&amp;State,Sheet5!$M$2:$Q$225,2,FALSE)</f>
        <v>0.36687153013553736</v>
      </c>
      <c r="R64" s="63">
        <f>VLOOKUP("ER-Sqr"&amp;LEFT($B64,1)&amp;"COLL"&amp;State,Sheet5!$M$2:$Q$225,3,FALSE)</f>
        <v>0.53962498519442981</v>
      </c>
      <c r="S64" s="63">
        <f>VLOOKUP("ER-Sqr"&amp;LEFT($B64,1)&amp;"COLL"&amp;State,Sheet5!$M$2:$Q$225,4,FALSE)</f>
        <v>2.817790813472049E-3</v>
      </c>
      <c r="T64" s="63"/>
      <c r="U64" s="63">
        <f>IF(PIP="","",IF($C$1=FALSE,"",VLOOKUP("ER-Sqr"&amp;LEFT($B64,1)&amp;"PIP"&amp;State,Sheet5!$M$2:$Q$225,2,FALSE)))</f>
        <v>0.64750098753527718</v>
      </c>
      <c r="V64" s="63">
        <f>IF(PIP="","",IF($C$1=FALSE,"",VLOOKUP("ER-Sqr"&amp;LEFT($B64,1)&amp;"PIP"&amp;State,Sheet5!$M$2:$Q$225,3,FALSE)))</f>
        <v>0.91472969729766473</v>
      </c>
      <c r="W64" s="63">
        <f>IF(PIP="","",IF($C$1=FALSE,"",VLOOKUP("ER-Sqr"&amp;LEFT($B64,1)&amp;"PIP"&amp;State,Sheet5!$M$2:$Q$225,4,FALSE)))</f>
        <v>0.98862855883014022</v>
      </c>
      <c r="X64" s="63">
        <f>IF(PIP="","",IF($C$1=FALSE,"",VLOOKUP("ER-Sqr"&amp;LEFT($B64,1)&amp;"PIP"&amp;State,Sheet5!$M$2:$Q$225,5,FALSE)))</f>
        <v>0.80392822288112353</v>
      </c>
      <c r="Y64" s="63"/>
      <c r="Z64" s="63" t="str">
        <f>IF(_PPI1="","",VLOOKUP("ER-Sqr"&amp;LEFT($B64,1)&amp;"PPI"&amp;State,Sheet5!$M$2:$Q$225,2,FALSE))</f>
        <v/>
      </c>
      <c r="AA64" s="63" t="str">
        <f>IF(_PPI1="","",VLOOKUP("ER-Sqr"&amp;LEFT($B64,1)&amp;"PPI"&amp;State,Sheet5!$M$2:$Q$225,3,FALSE))</f>
        <v/>
      </c>
      <c r="AB64" s="63" t="str">
        <f>IF(_PPI1="","",VLOOKUP("ER-Sqr"&amp;LEFT($B64,1)&amp;"PPI"&amp;State,Sheet5!$M$2:$Q$225,4,FALSE))</f>
        <v/>
      </c>
    </row>
    <row r="65" spans="2:28" x14ac:dyDescent="0.2">
      <c r="B65" t="s">
        <v>17</v>
      </c>
      <c r="D65" s="63">
        <f>VLOOKUP("ER-Sqr"&amp;LEFT($B65,1)&amp;"BI"&amp;State,Sheet5!$M$2:$Q$225,2,FALSE)</f>
        <v>0.96967525475015581</v>
      </c>
      <c r="E65" s="63">
        <f>VLOOKUP("ER-Sqr"&amp;LEFT($B65,1)&amp;"BI"&amp;State,Sheet5!$M$2:$Q$225,3,FALSE)</f>
        <v>0.99517344420321319</v>
      </c>
      <c r="F65" s="63">
        <f>VLOOKUP("ER-Sqr"&amp;LEFT($B65,1)&amp;"BI"&amp;State,Sheet5!$M$2:$Q$225,4,FALSE)</f>
        <v>0.99822148149697776</v>
      </c>
      <c r="G65" s="63">
        <f>VLOOKUP("ER-Sqr"&amp;LEFT($B65,1)&amp;"BI"&amp;State,Sheet5!$M$2:$Q$225,5,FALSE)</f>
        <v>0.97883005859161543</v>
      </c>
      <c r="H65" s="63"/>
      <c r="I65" s="63">
        <f>VLOOKUP("ER-Sqr"&amp;LEFT($B65,1)&amp;"PD"&amp;State,Sheet5!$M$2:$Q$225,2,FALSE)</f>
        <v>0.41115390977387833</v>
      </c>
      <c r="J65" s="63">
        <f>VLOOKUP("ER-Sqr"&amp;LEFT($B65,1)&amp;"PD"&amp;State,Sheet5!$M$2:$Q$225,3,FALSE)</f>
        <v>0.51324484413506288</v>
      </c>
      <c r="K65" s="63">
        <f>VLOOKUP("ER-Sqr"&amp;LEFT($B65,1)&amp;"PD"&amp;State,Sheet5!$M$2:$Q$225,4,FALSE)</f>
        <v>0.98390074109025816</v>
      </c>
      <c r="L65" s="63"/>
      <c r="M65" s="63">
        <f>VLOOKUP("ER-Sqr"&amp;LEFT($B65,1)&amp;"COMP"&amp;State,Sheet5!$M$2:$Q$225,2,FALSE)</f>
        <v>7.5275213098308202E-2</v>
      </c>
      <c r="N65" s="63">
        <f>VLOOKUP("ER-Sqr"&amp;LEFT($B65,1)&amp;"COMP"&amp;State,Sheet5!$M$2:$Q$225,3,FALSE)</f>
        <v>0.56199933087481724</v>
      </c>
      <c r="O65" s="63">
        <f>VLOOKUP("ER-Sqr"&amp;LEFT($B65,1)&amp;"COMP"&amp;State,Sheet5!$M$2:$Q$225,4,FALSE)</f>
        <v>0.10631395701906848</v>
      </c>
      <c r="P65" s="63"/>
      <c r="Q65" s="63">
        <f>VLOOKUP("ER-Sqr"&amp;LEFT($B65,1)&amp;"COLL"&amp;State,Sheet5!$M$2:$Q$225,2,FALSE)</f>
        <v>2.7201087103401887E-2</v>
      </c>
      <c r="R65" s="63">
        <f>VLOOKUP("ER-Sqr"&amp;LEFT($B65,1)&amp;"COLL"&amp;State,Sheet5!$M$2:$Q$225,3,FALSE)</f>
        <v>1.2904819833809391E-2</v>
      </c>
      <c r="S65" s="63">
        <f>VLOOKUP("ER-Sqr"&amp;LEFT($B65,1)&amp;"COLL"&amp;State,Sheet5!$M$2:$Q$225,4,FALSE)</f>
        <v>0.35343406475141381</v>
      </c>
      <c r="T65" s="63"/>
      <c r="U65" s="63">
        <f>IF(PIP="","",IF($C$1=FALSE,"",VLOOKUP("ER-Sqr"&amp;LEFT($B65,1)&amp;"PIP"&amp;State,Sheet5!$M$2:$Q$225,2,FALSE)))</f>
        <v>0.66437919272500401</v>
      </c>
      <c r="V65" s="63">
        <f>IF(PIP="","",IF($C$1=FALSE,"",VLOOKUP("ER-Sqr"&amp;LEFT($B65,1)&amp;"PIP"&amp;State,Sheet5!$M$2:$Q$225,3,FALSE)))</f>
        <v>0.95713745016861818</v>
      </c>
      <c r="W65" s="63">
        <f>IF(PIP="","",IF($C$1=FALSE,"",VLOOKUP("ER-Sqr"&amp;LEFT($B65,1)&amp;"PIP"&amp;State,Sheet5!$M$2:$Q$225,4,FALSE)))</f>
        <v>0.99458772354731795</v>
      </c>
      <c r="X65" s="63">
        <f>IF(PIP="","",IF($C$1=FALSE,"",VLOOKUP("ER-Sqr"&amp;LEFT($B65,1)&amp;"PIP"&amp;State,Sheet5!$M$2:$Q$225,5,FALSE)))</f>
        <v>0.82241818393572641</v>
      </c>
      <c r="Y65" s="63"/>
      <c r="Z65" s="63" t="str">
        <f>IF(_PPI1="","",VLOOKUP("ER-Sqr"&amp;LEFT($B65,1)&amp;"PPI"&amp;State,Sheet5!$M$2:$Q$225,2,FALSE))</f>
        <v/>
      </c>
      <c r="AA65" s="63" t="str">
        <f>IF(_PPI1="","",VLOOKUP("ER-Sqr"&amp;LEFT($B65,1)&amp;"PPI"&amp;State,Sheet5!$M$2:$Q$225,3,FALSE))</f>
        <v/>
      </c>
      <c r="AB65" s="63" t="str">
        <f>IF(_PPI1="","",VLOOKUP("ER-Sqr"&amp;LEFT($B65,1)&amp;"PPI"&amp;State,Sheet5!$M$2:$Q$225,4,FALSE))</f>
        <v/>
      </c>
    </row>
    <row r="66" spans="2:28" x14ac:dyDescent="0.2">
      <c r="B66" s="38" t="s">
        <v>37</v>
      </c>
      <c r="D66" s="63">
        <f>VLOOKUP("ER-Sqr"&amp;LEFT($B66,1)&amp;"BI"&amp;State,Sheet5!$M$2:$Q$225,2,FALSE)</f>
        <v>0.62525329715797529</v>
      </c>
      <c r="E66" s="63">
        <f>VLOOKUP("ER-Sqr"&amp;LEFT($B66,1)&amp;"BI"&amp;State,Sheet5!$M$2:$Q$225,3,FALSE)</f>
        <v>0.99520081194509313</v>
      </c>
      <c r="F66" s="63">
        <f>VLOOKUP("ER-Sqr"&amp;LEFT($B66,1)&amp;"BI"&amp;State,Sheet5!$M$2:$Q$225,4,FALSE)</f>
        <v>0.99206145557910053</v>
      </c>
      <c r="G66" s="63">
        <f>VLOOKUP("ER-Sqr"&amp;LEFT($B66,1)&amp;"BI"&amp;State,Sheet5!$M$2:$Q$225,5,FALSE)</f>
        <v>0.99007579267740187</v>
      </c>
      <c r="H66" s="63"/>
      <c r="I66" s="63">
        <f>VLOOKUP("ER-Sqr"&amp;LEFT($B66,1)&amp;"PD"&amp;State,Sheet5!$M$2:$Q$225,2,FALSE)</f>
        <v>0.55702559530827556</v>
      </c>
      <c r="J66" s="63">
        <f>VLOOKUP("ER-Sqr"&amp;LEFT($B66,1)&amp;"PD"&amp;State,Sheet5!$M$2:$Q$225,3,FALSE)</f>
        <v>0.79383455005306736</v>
      </c>
      <c r="K66" s="63">
        <f>VLOOKUP("ER-Sqr"&amp;LEFT($B66,1)&amp;"PD"&amp;State,Sheet5!$M$2:$Q$225,4,FALSE)</f>
        <v>0.97015858698124247</v>
      </c>
      <c r="L66" s="63"/>
      <c r="M66" s="63">
        <f>VLOOKUP("ER-Sqr"&amp;LEFT($B66,1)&amp;"COMP"&amp;State,Sheet5!$M$2:$Q$225,2,FALSE)</f>
        <v>8.5683724255722973E-2</v>
      </c>
      <c r="N66" s="63">
        <f>VLOOKUP("ER-Sqr"&amp;LEFT($B66,1)&amp;"COMP"&amp;State,Sheet5!$M$2:$Q$225,3,FALSE)</f>
        <v>0.81683815498173451</v>
      </c>
      <c r="O66" s="63">
        <f>VLOOKUP("ER-Sqr"&amp;LEFT($B66,1)&amp;"COMP"&amp;State,Sheet5!$M$2:$Q$225,4,FALSE)</f>
        <v>0.3621009516632594</v>
      </c>
      <c r="P66" s="63"/>
      <c r="Q66" s="63">
        <f>VLOOKUP("ER-Sqr"&amp;LEFT($B66,1)&amp;"COLL"&amp;State,Sheet5!$M$2:$Q$225,2,FALSE)</f>
        <v>0.12640869755185843</v>
      </c>
      <c r="R66" s="63">
        <f>VLOOKUP("ER-Sqr"&amp;LEFT($B66,1)&amp;"COLL"&amp;State,Sheet5!$M$2:$Q$225,3,FALSE)</f>
        <v>0.42435254108456189</v>
      </c>
      <c r="S66" s="63">
        <f>VLOOKUP("ER-Sqr"&amp;LEFT($B66,1)&amp;"COLL"&amp;State,Sheet5!$M$2:$Q$225,4,FALSE)</f>
        <v>0.69257821305264022</v>
      </c>
      <c r="T66" s="63"/>
      <c r="U66" s="63">
        <f>IF(PIP="","",IF($C$1=FALSE,"",VLOOKUP("ER-Sqr"&amp;LEFT($B66,1)&amp;"PIP"&amp;State,Sheet5!$M$2:$Q$225,2,FALSE)))</f>
        <v>6.0506796171765336E-3</v>
      </c>
      <c r="V66" s="63">
        <f>IF(PIP="","",IF($C$1=FALSE,"",VLOOKUP("ER-Sqr"&amp;LEFT($B66,1)&amp;"PIP"&amp;State,Sheet5!$M$2:$Q$225,3,FALSE)))</f>
        <v>0.97489190937442227</v>
      </c>
      <c r="W66" s="63">
        <f>IF(PIP="","",IF($C$1=FALSE,"",VLOOKUP("ER-Sqr"&amp;LEFT($B66,1)&amp;"PIP"&amp;State,Sheet5!$M$2:$Q$225,4,FALSE)))</f>
        <v>0.93301045514362213</v>
      </c>
      <c r="X66" s="63">
        <f>IF(PIP="","",IF($C$1=FALSE,"",VLOOKUP("ER-Sqr"&amp;LEFT($B66,1)&amp;"PIP"&amp;State,Sheet5!$M$2:$Q$225,5,FALSE)))</f>
        <v>0.8629922275693046</v>
      </c>
      <c r="Y66" s="63"/>
      <c r="Z66" s="63" t="str">
        <f>IF(_PPI1="","",VLOOKUP("ER-Sqr"&amp;LEFT($B66,1)&amp;"PPI"&amp;State,Sheet5!$M$2:$Q$225,2,FALSE))</f>
        <v/>
      </c>
      <c r="AA66" s="63" t="str">
        <f>IF(_PPI1="","",VLOOKUP("ER-Sqr"&amp;LEFT($B66,1)&amp;"PPI"&amp;State,Sheet5!$M$2:$Q$225,3,FALSE))</f>
        <v/>
      </c>
      <c r="AB66" s="63" t="str">
        <f>IF(_PPI1="","",VLOOKUP("ER-Sqr"&amp;LEFT($B66,1)&amp;"PPI"&amp;State,Sheet5!$M$2:$Q$225,4,FALSE))</f>
        <v/>
      </c>
    </row>
    <row r="68" spans="2:28" x14ac:dyDescent="0.2">
      <c r="B68" s="58" t="str">
        <f>IF(State="Colorado","Please note that the annual trends for Colorado Bodily Injury and PIP are distorted due to the effect of the repeal of No Fault effective July 1, 2003.","")</f>
        <v/>
      </c>
    </row>
    <row r="69" spans="2:28" x14ac:dyDescent="0.2">
      <c r="B69" s="64" t="str">
        <f>IF(State="Multi-state","Multi-state Bodily Injury Coverage Excludes Alabama, Arizona, Arkansas, Colorado, Connecticut, D.C., Delaware, Florida, Hawaii, Kansas, Kentucky, Massachusetts, Michigan, Minnesota, New Jersey, New York, North Dakota, Pennsylvania, Puerto Rico, Utah","")</f>
        <v>Multi-state Bodily Injury Coverage Excludes Alabama, Arizona, Arkansas, Colorado, Connecticut, D.C., Delaware, Florida, Hawaii, Kansas, Kentucky, Massachusetts, Michigan, Minnesota, New Jersey, New York, North Dakota, Pennsylvania, Puerto Rico, Utah</v>
      </c>
    </row>
    <row r="70" spans="2:28" x14ac:dyDescent="0.2">
      <c r="B70" s="58" t="str">
        <f>IF(State="Multi-state","Multi-state PIP Coverage Includes Florida, Hawaii, Kansas, Kentucky, Massachusetts, Michigan, Minnesota, New York, North Dakota, Utah","")</f>
        <v>Multi-state PIP Coverage Includes Florida, Hawaii, Kansas, Kentucky, Massachusetts, Michigan, Minnesota, New York, North Dakota, Utah</v>
      </c>
    </row>
    <row r="71" spans="2:28" x14ac:dyDescent="0.2">
      <c r="B71" s="58" t="str">
        <f>IF(State="Multi-state","All Other Multi-state Coverages Exclude New Jersey","")</f>
        <v>All Other Multi-state Coverages Exclude New Jersey</v>
      </c>
    </row>
    <row r="73" spans="2:28" x14ac:dyDescent="0.2">
      <c r="B73" s="38" t="s">
        <v>40</v>
      </c>
    </row>
    <row r="74" spans="2:28" x14ac:dyDescent="0.2">
      <c r="B74" s="14" t="s">
        <v>86</v>
      </c>
    </row>
  </sheetData>
  <mergeCells count="17">
    <mergeCell ref="U51:X51"/>
    <mergeCell ref="Z51:AB51"/>
    <mergeCell ref="B50:S50"/>
    <mergeCell ref="D51:G51"/>
    <mergeCell ref="I51:K51"/>
    <mergeCell ref="M51:O51"/>
    <mergeCell ref="Q51:S51"/>
    <mergeCell ref="Z6:AB6"/>
    <mergeCell ref="U6:X6"/>
    <mergeCell ref="D1:E1"/>
    <mergeCell ref="B2:S2"/>
    <mergeCell ref="B4:S4"/>
    <mergeCell ref="D6:G6"/>
    <mergeCell ref="I6:K6"/>
    <mergeCell ref="M6:O6"/>
    <mergeCell ref="Q6:S6"/>
    <mergeCell ref="B3:S3"/>
  </mergeCells>
  <phoneticPr fontId="6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defaultSize="0" print="0" autoLine="0" autoPict="0" listFillRange="Sheet5!K3:K6" r:id="rId5">
            <anchor moveWithCells="1">
              <from>
                <xdr:col>1</xdr:col>
                <xdr:colOff>19050</xdr:colOff>
                <xdr:row>0</xdr:row>
                <xdr:rowOff>9525</xdr:rowOff>
              </from>
              <to>
                <xdr:col>5</xdr:col>
                <xdr:colOff>9525</xdr:colOff>
                <xdr:row>1</xdr:row>
                <xdr:rowOff>85725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mdPrintPurePremium">
          <controlPr defaultSize="0" print="0" autoLine="0" r:id="rId7">
            <anchor moveWithCells="1">
              <from>
                <xdr:col>18</xdr:col>
                <xdr:colOff>352425</xdr:colOff>
                <xdr:row>0</xdr:row>
                <xdr:rowOff>38100</xdr:rowOff>
              </from>
              <to>
                <xdr:col>20</xdr:col>
                <xdr:colOff>371475</xdr:colOff>
                <xdr:row>2</xdr:row>
                <xdr:rowOff>123825</xdr:rowOff>
              </to>
            </anchor>
          </controlPr>
        </control>
      </mc:Choice>
      <mc:Fallback>
        <control shapeId="1028" r:id="rId6" name="cmdPrintPurePremium"/>
      </mc:Fallback>
    </mc:AlternateContent>
    <mc:AlternateContent xmlns:mc="http://schemas.openxmlformats.org/markup-compatibility/2006">
      <mc:Choice Requires="x14">
        <control shapeId="1030" r:id="rId8" name="ListBox1">
          <controlPr defaultSize="0" print="0" autoLine="0" autoPict="0" listFillRange="Sheet5!S62:S64" r:id="rId9">
            <anchor moveWithCells="1">
              <from>
                <xdr:col>16</xdr:col>
                <xdr:colOff>57150</xdr:colOff>
                <xdr:row>0</xdr:row>
                <xdr:rowOff>0</xdr:rowOff>
              </from>
              <to>
                <xdr:col>18</xdr:col>
                <xdr:colOff>419100</xdr:colOff>
                <xdr:row>3</xdr:row>
                <xdr:rowOff>0</xdr:rowOff>
              </to>
            </anchor>
          </controlPr>
        </control>
      </mc:Choice>
      <mc:Fallback>
        <control shapeId="1030" r:id="rId8" name="Lis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F17F-2C0F-4698-B686-196F671AA83A}">
  <sheetPr codeName="Sheet2"/>
  <dimension ref="A1:N367"/>
  <sheetViews>
    <sheetView workbookViewId="0">
      <selection activeCell="A3" sqref="A3"/>
    </sheetView>
  </sheetViews>
  <sheetFormatPr defaultRowHeight="12.75" x14ac:dyDescent="0.2"/>
  <cols>
    <col min="1" max="1" width="9.42578125" style="29" customWidth="1"/>
    <col min="2" max="2" width="12.42578125" style="27" customWidth="1"/>
    <col min="3" max="3" width="10.42578125" style="27" customWidth="1"/>
    <col min="4" max="4" width="9.5703125" style="27" customWidth="1"/>
    <col min="5" max="5" width="14" style="27" customWidth="1"/>
    <col min="6" max="6" width="8.7109375" style="28" customWidth="1"/>
    <col min="7" max="7" width="12.140625" style="28" customWidth="1"/>
    <col min="8" max="8" width="9.28515625" style="27" customWidth="1"/>
    <col min="9" max="9" width="11.85546875" style="28" customWidth="1"/>
    <col min="10" max="10" width="10.28515625" style="28" customWidth="1"/>
    <col min="11" max="11" width="11.85546875" style="28" customWidth="1"/>
    <col min="12" max="12" width="8.5703125" style="28" customWidth="1"/>
    <col min="13" max="13" width="11.5703125" style="28" customWidth="1"/>
    <col min="14" max="14" width="2" customWidth="1"/>
  </cols>
  <sheetData>
    <row r="1" spans="1:14" ht="13.5" x14ac:dyDescent="0.2">
      <c r="A1" s="26" t="s">
        <v>88</v>
      </c>
      <c r="B1" s="29"/>
      <c r="C1" s="70" t="s">
        <v>43</v>
      </c>
      <c r="D1" s="70"/>
      <c r="E1" s="70"/>
      <c r="F1" s="70"/>
      <c r="G1" s="70"/>
      <c r="H1" s="70"/>
      <c r="I1" s="70"/>
      <c r="J1" s="70"/>
      <c r="K1" s="70"/>
      <c r="L1" s="17"/>
      <c r="M1" s="17"/>
      <c r="N1" s="5"/>
    </row>
    <row r="2" spans="1:14" x14ac:dyDescent="0.2">
      <c r="A2" s="37" t="s">
        <v>23</v>
      </c>
      <c r="B2" s="29"/>
      <c r="C2" s="70" t="s">
        <v>42</v>
      </c>
      <c r="D2" s="70"/>
      <c r="E2" s="70"/>
      <c r="F2" s="70"/>
      <c r="G2" s="70"/>
      <c r="H2" s="70"/>
      <c r="I2" s="70"/>
      <c r="J2" s="70"/>
      <c r="K2" s="70"/>
      <c r="L2" s="17"/>
      <c r="M2" s="17"/>
      <c r="N2" s="5"/>
    </row>
    <row r="3" spans="1:14" x14ac:dyDescent="0.2">
      <c r="A3" s="34"/>
      <c r="B3" s="51"/>
      <c r="C3" s="15"/>
      <c r="D3" s="15"/>
      <c r="E3" s="15"/>
      <c r="F3" s="16"/>
      <c r="G3" s="16"/>
      <c r="H3" s="15"/>
      <c r="I3" s="16"/>
      <c r="J3" s="16"/>
      <c r="K3" s="16"/>
      <c r="L3" s="16"/>
      <c r="M3" s="16"/>
    </row>
    <row r="4" spans="1:14" x14ac:dyDescent="0.2">
      <c r="A4" s="17"/>
      <c r="C4" s="15" t="s">
        <v>45</v>
      </c>
      <c r="D4" s="15"/>
      <c r="E4" s="15"/>
      <c r="F4" s="16"/>
      <c r="G4" s="15" t="s">
        <v>46</v>
      </c>
      <c r="H4" s="15"/>
      <c r="I4" s="16"/>
      <c r="J4" s="16"/>
      <c r="K4" s="16"/>
      <c r="L4" s="16"/>
      <c r="M4" s="16"/>
    </row>
    <row r="5" spans="1:14" x14ac:dyDescent="0.2">
      <c r="A5" s="17"/>
      <c r="C5" s="15"/>
      <c r="D5" s="15"/>
      <c r="E5" s="15"/>
      <c r="F5" s="16"/>
      <c r="G5" s="16"/>
      <c r="H5" s="15"/>
      <c r="I5" s="16"/>
      <c r="J5" s="16"/>
      <c r="K5" s="16"/>
      <c r="L5" s="16"/>
      <c r="M5" s="16"/>
    </row>
    <row r="6" spans="1:14" x14ac:dyDescent="0.2">
      <c r="A6" s="18"/>
      <c r="B6" s="52"/>
      <c r="C6" s="19"/>
      <c r="D6" s="19"/>
      <c r="E6" s="19"/>
      <c r="F6" s="20"/>
      <c r="G6" s="20" t="s">
        <v>47</v>
      </c>
      <c r="H6" s="19"/>
      <c r="I6" s="20" t="s">
        <v>47</v>
      </c>
      <c r="J6" s="20"/>
      <c r="K6" s="20" t="s">
        <v>47</v>
      </c>
      <c r="L6" s="20"/>
      <c r="M6" s="20" t="s">
        <v>47</v>
      </c>
    </row>
    <row r="7" spans="1:14" x14ac:dyDescent="0.2">
      <c r="A7" s="17"/>
      <c r="B7" s="52"/>
      <c r="C7" s="19" t="s">
        <v>48</v>
      </c>
      <c r="D7" s="19" t="s">
        <v>48</v>
      </c>
      <c r="E7" s="19"/>
      <c r="F7" s="19" t="s">
        <v>7</v>
      </c>
      <c r="G7" s="20" t="s">
        <v>49</v>
      </c>
      <c r="H7" s="19" t="s">
        <v>7</v>
      </c>
      <c r="I7" s="20" t="s">
        <v>49</v>
      </c>
      <c r="J7" s="20"/>
      <c r="K7" s="20" t="s">
        <v>49</v>
      </c>
      <c r="L7" s="20" t="s">
        <v>8</v>
      </c>
      <c r="M7" s="20" t="s">
        <v>49</v>
      </c>
    </row>
    <row r="8" spans="1:14" x14ac:dyDescent="0.2">
      <c r="A8" s="47" t="s">
        <v>20</v>
      </c>
      <c r="B8" s="52" t="s">
        <v>50</v>
      </c>
      <c r="C8" s="19" t="s">
        <v>7</v>
      </c>
      <c r="D8" s="19" t="s">
        <v>51</v>
      </c>
      <c r="E8" s="19" t="s">
        <v>7</v>
      </c>
      <c r="F8" s="20" t="s">
        <v>11</v>
      </c>
      <c r="G8" s="20" t="s">
        <v>52</v>
      </c>
      <c r="H8" s="19" t="s">
        <v>11</v>
      </c>
      <c r="I8" s="20" t="s">
        <v>52</v>
      </c>
      <c r="J8" s="20" t="s">
        <v>10</v>
      </c>
      <c r="K8" s="20" t="s">
        <v>52</v>
      </c>
      <c r="L8" s="20" t="s">
        <v>11</v>
      </c>
      <c r="M8" s="20" t="s">
        <v>52</v>
      </c>
    </row>
    <row r="9" spans="1:14" x14ac:dyDescent="0.2">
      <c r="A9" s="48" t="s">
        <v>19</v>
      </c>
      <c r="B9" s="53" t="s">
        <v>53</v>
      </c>
      <c r="C9" s="49" t="s">
        <v>51</v>
      </c>
      <c r="D9" s="49" t="s">
        <v>8</v>
      </c>
      <c r="E9" s="49" t="s">
        <v>54</v>
      </c>
      <c r="F9" s="50" t="s">
        <v>13</v>
      </c>
      <c r="G9" s="50" t="s">
        <v>6</v>
      </c>
      <c r="H9" s="49" t="s">
        <v>22</v>
      </c>
      <c r="I9" s="50" t="s">
        <v>6</v>
      </c>
      <c r="J9" s="50" t="s">
        <v>55</v>
      </c>
      <c r="K9" s="50" t="s">
        <v>6</v>
      </c>
      <c r="L9" s="50" t="s">
        <v>13</v>
      </c>
      <c r="M9" s="50" t="s">
        <v>6</v>
      </c>
    </row>
    <row r="11" spans="1:14" x14ac:dyDescent="0.2">
      <c r="A11" s="29" t="s">
        <v>722</v>
      </c>
      <c r="B11" s="27">
        <f>VLOOKUP($A11&amp;"BI"&amp;State2,Sheet5!$A$2:$I$295,2,FALSE)</f>
        <v>19227832</v>
      </c>
      <c r="C11" s="27">
        <f>VLOOKUP($A11&amp;"BI"&amp;State2,Sheet5!$A$2:$I$295,3,FALSE)</f>
        <v>219166</v>
      </c>
      <c r="D11" s="27">
        <f>VLOOKUP($A11&amp;"BI"&amp;State2,Sheet5!$A$2:$I$295,4,FALSE)</f>
        <v>309499</v>
      </c>
      <c r="E11" s="27">
        <f>VLOOKUP($A11&amp;"BI"&amp;State2,Sheet5!$A$2:$I$295,5,FALSE)</f>
        <v>2045946328</v>
      </c>
      <c r="F11" s="28">
        <f>IF(B11=0,0,ROUND((C11/B11)*100,2))</f>
        <v>1.1399999999999999</v>
      </c>
      <c r="G11" s="28" t="str">
        <f>IF(ISERR((F7-F11)/F7),"*****",ROUND(-((F7-F11)/F7)*100,2))</f>
        <v>*****</v>
      </c>
      <c r="H11" s="27">
        <f>IF(C11=0,0,ROUND(E11/C11,0))</f>
        <v>9335</v>
      </c>
      <c r="I11" s="28" t="str">
        <f>IF(ISERR((H7-H11)/H7),"******",ROUND(-((H7-H11)/H7)*100,2))</f>
        <v>******</v>
      </c>
      <c r="J11" s="28">
        <f>IF(B11=0,0,ROUND(E11/B11,2))</f>
        <v>106.41</v>
      </c>
      <c r="K11" s="28" t="str">
        <f>IF(ISERR((J7-J11)/J7),"******",ROUND(-((J7-J11)/J7)*100,2))</f>
        <v>******</v>
      </c>
      <c r="L11" s="28">
        <f>IF(B11=0,0,ROUND((D11/B11)*100,2))</f>
        <v>1.61</v>
      </c>
      <c r="M11" s="28" t="str">
        <f>IF(ISERR((L7-L11)/L7),"******",ROUND(-((L7-L11)/L7)*100,2))</f>
        <v>******</v>
      </c>
    </row>
    <row r="12" spans="1:14" x14ac:dyDescent="0.2">
      <c r="A12" s="29" t="s">
        <v>723</v>
      </c>
      <c r="B12" s="27">
        <f>VLOOKUP($A12&amp;"BI"&amp;State2,Sheet5!$A$2:$I$295,2,FALSE)</f>
        <v>19633870</v>
      </c>
      <c r="C12" s="27">
        <f>VLOOKUP($A12&amp;"BI"&amp;State2,Sheet5!$A$2:$I$295,3,FALSE)</f>
        <v>218234</v>
      </c>
      <c r="D12" s="27">
        <f>VLOOKUP($A12&amp;"BI"&amp;State2,Sheet5!$A$2:$I$295,4,FALSE)</f>
        <v>317330</v>
      </c>
      <c r="E12" s="27">
        <f>VLOOKUP($A12&amp;"BI"&amp;State2,Sheet5!$A$2:$I$295,5,FALSE)</f>
        <v>2135297529</v>
      </c>
      <c r="F12" s="28">
        <f t="shared" ref="F12:F31" si="0">IF(B12=0,0,ROUND((C12/B12)*100,2))</f>
        <v>1.1100000000000001</v>
      </c>
      <c r="G12" s="28" t="str">
        <f t="shared" ref="G12:G31" si="1">IF(ISERR((F8-F12)/F8),"*****",ROUND(-((F8-F12)/F8)*100,2))</f>
        <v>*****</v>
      </c>
      <c r="H12" s="27">
        <f t="shared" ref="H12:H31" si="2">IF(C12=0,0,ROUND(E12/C12,0))</f>
        <v>9784</v>
      </c>
      <c r="I12" s="28" t="str">
        <f t="shared" ref="I12:I31" si="3">IF(ISERR((H8-H12)/H8),"******",ROUND(-((H8-H12)/H8)*100,2))</f>
        <v>******</v>
      </c>
      <c r="J12" s="28">
        <f t="shared" ref="J12:J31" si="4">IF(B12=0,0,ROUND(E12/B12,2))</f>
        <v>108.76</v>
      </c>
      <c r="K12" s="28" t="str">
        <f t="shared" ref="K12:K31" si="5">IF(ISERR((J8-J12)/J8),"******",ROUND(-((J8-J12)/J8)*100,2))</f>
        <v>******</v>
      </c>
      <c r="L12" s="28">
        <f t="shared" ref="L12:L31" si="6">IF(B12=0,0,ROUND((D12/B12)*100,2))</f>
        <v>1.62</v>
      </c>
      <c r="M12" s="28" t="str">
        <f t="shared" ref="M12:M31" si="7">IF(ISERR((L8-L12)/L8),"******",ROUND(-((L8-L12)/L8)*100,2))</f>
        <v>******</v>
      </c>
    </row>
    <row r="13" spans="1:14" x14ac:dyDescent="0.2">
      <c r="A13" s="29" t="s">
        <v>724</v>
      </c>
      <c r="B13" s="27">
        <f>VLOOKUP($A13&amp;"BI"&amp;State2,Sheet5!$A$2:$I$295,2,FALSE)</f>
        <v>19778162</v>
      </c>
      <c r="C13" s="27">
        <f>VLOOKUP($A13&amp;"BI"&amp;State2,Sheet5!$A$2:$I$295,3,FALSE)</f>
        <v>213993</v>
      </c>
      <c r="D13" s="27">
        <f>VLOOKUP($A13&amp;"BI"&amp;State2,Sheet5!$A$2:$I$295,4,FALSE)</f>
        <v>317484</v>
      </c>
      <c r="E13" s="27">
        <f>VLOOKUP($A13&amp;"BI"&amp;State2,Sheet5!$A$2:$I$295,5,FALSE)</f>
        <v>2128152079</v>
      </c>
      <c r="F13" s="28">
        <f t="shared" si="0"/>
        <v>1.08</v>
      </c>
      <c r="G13" s="28" t="str">
        <f t="shared" si="1"/>
        <v>*****</v>
      </c>
      <c r="H13" s="27">
        <f t="shared" si="2"/>
        <v>9945</v>
      </c>
      <c r="I13" s="28" t="str">
        <f t="shared" si="3"/>
        <v>******</v>
      </c>
      <c r="J13" s="28">
        <f t="shared" si="4"/>
        <v>107.6</v>
      </c>
      <c r="K13" s="28" t="str">
        <f t="shared" si="5"/>
        <v>******</v>
      </c>
      <c r="L13" s="28">
        <f t="shared" si="6"/>
        <v>1.61</v>
      </c>
      <c r="M13" s="28" t="str">
        <f t="shared" si="7"/>
        <v>******</v>
      </c>
    </row>
    <row r="14" spans="1:14" x14ac:dyDescent="0.2">
      <c r="A14" s="29" t="s">
        <v>700</v>
      </c>
      <c r="B14" s="27">
        <f>VLOOKUP($A14&amp;"BI"&amp;State2,Sheet5!$A$2:$I$295,2,FALSE)</f>
        <v>19828812</v>
      </c>
      <c r="C14" s="27">
        <f>VLOOKUP($A14&amp;"BI"&amp;State2,Sheet5!$A$2:$I$295,3,FALSE)</f>
        <v>219974</v>
      </c>
      <c r="D14" s="27">
        <f>VLOOKUP($A14&amp;"BI"&amp;State2,Sheet5!$A$2:$I$295,4,FALSE)</f>
        <v>325399</v>
      </c>
      <c r="E14" s="27">
        <f>VLOOKUP($A14&amp;"BI"&amp;State2,Sheet5!$A$2:$I$295,5,FALSE)</f>
        <v>2208973665</v>
      </c>
      <c r="F14" s="28">
        <f t="shared" si="0"/>
        <v>1.1100000000000001</v>
      </c>
      <c r="G14" s="28" t="str">
        <f t="shared" si="1"/>
        <v>*****</v>
      </c>
      <c r="H14" s="27">
        <f t="shared" si="2"/>
        <v>10042</v>
      </c>
      <c r="I14" s="28" t="str">
        <f t="shared" si="3"/>
        <v>******</v>
      </c>
      <c r="J14" s="28">
        <f t="shared" si="4"/>
        <v>111.4</v>
      </c>
      <c r="K14" s="28" t="str">
        <f t="shared" si="5"/>
        <v>******</v>
      </c>
      <c r="L14" s="28">
        <f t="shared" si="6"/>
        <v>1.64</v>
      </c>
      <c r="M14" s="28" t="str">
        <f t="shared" si="7"/>
        <v>******</v>
      </c>
    </row>
    <row r="15" spans="1:14" x14ac:dyDescent="0.2">
      <c r="A15" s="29" t="s">
        <v>701</v>
      </c>
      <c r="B15" s="27">
        <f>VLOOKUP($A15&amp;"BI"&amp;State2,Sheet5!$A$2:$I$295,2,FALSE)</f>
        <v>19844082</v>
      </c>
      <c r="C15" s="27">
        <f>VLOOKUP($A15&amp;"BI"&amp;State2,Sheet5!$A$2:$I$295,3,FALSE)</f>
        <v>214170</v>
      </c>
      <c r="D15" s="27">
        <f>VLOOKUP($A15&amp;"BI"&amp;State2,Sheet5!$A$2:$I$295,4,FALSE)</f>
        <v>307724</v>
      </c>
      <c r="E15" s="27">
        <f>VLOOKUP($A15&amp;"BI"&amp;State2,Sheet5!$A$2:$I$295,5,FALSE)</f>
        <v>2077110079</v>
      </c>
      <c r="F15" s="28">
        <f t="shared" si="0"/>
        <v>1.08</v>
      </c>
      <c r="G15" s="28">
        <f t="shared" si="1"/>
        <v>-5.26</v>
      </c>
      <c r="H15" s="27">
        <f t="shared" si="2"/>
        <v>9698</v>
      </c>
      <c r="I15" s="28">
        <f t="shared" si="3"/>
        <v>3.89</v>
      </c>
      <c r="J15" s="28">
        <f t="shared" si="4"/>
        <v>104.67</v>
      </c>
      <c r="K15" s="28">
        <f t="shared" si="5"/>
        <v>-1.64</v>
      </c>
      <c r="L15" s="28">
        <f t="shared" si="6"/>
        <v>1.55</v>
      </c>
      <c r="M15" s="28">
        <f t="shared" si="7"/>
        <v>-3.73</v>
      </c>
    </row>
    <row r="16" spans="1:14" x14ac:dyDescent="0.2">
      <c r="A16" s="29" t="s">
        <v>702</v>
      </c>
      <c r="B16" s="27">
        <f>VLOOKUP($A16&amp;"BI"&amp;State2,Sheet5!$A$2:$I$295,2,FALSE)</f>
        <v>20100520</v>
      </c>
      <c r="C16" s="27">
        <f>VLOOKUP($A16&amp;"BI"&amp;State2,Sheet5!$A$2:$I$295,3,FALSE)</f>
        <v>214179</v>
      </c>
      <c r="D16" s="27">
        <f>VLOOKUP($A16&amp;"BI"&amp;State2,Sheet5!$A$2:$I$295,4,FALSE)</f>
        <v>314339</v>
      </c>
      <c r="E16" s="27">
        <f>VLOOKUP($A16&amp;"BI"&amp;State2,Sheet5!$A$2:$I$295,5,FALSE)</f>
        <v>2153264592</v>
      </c>
      <c r="F16" s="28">
        <f t="shared" si="0"/>
        <v>1.07</v>
      </c>
      <c r="G16" s="28">
        <f t="shared" si="1"/>
        <v>-3.6</v>
      </c>
      <c r="H16" s="27">
        <f t="shared" si="2"/>
        <v>10054</v>
      </c>
      <c r="I16" s="28">
        <f t="shared" si="3"/>
        <v>2.76</v>
      </c>
      <c r="J16" s="28">
        <f t="shared" si="4"/>
        <v>107.12</v>
      </c>
      <c r="K16" s="28">
        <f t="shared" si="5"/>
        <v>-1.51</v>
      </c>
      <c r="L16" s="28">
        <f t="shared" si="6"/>
        <v>1.56</v>
      </c>
      <c r="M16" s="28">
        <f t="shared" si="7"/>
        <v>-3.7</v>
      </c>
    </row>
    <row r="17" spans="1:13" x14ac:dyDescent="0.2">
      <c r="A17" s="29" t="s">
        <v>703</v>
      </c>
      <c r="B17" s="27">
        <f>VLOOKUP($A17&amp;"BI"&amp;State2,Sheet5!$A$2:$I$295,2,FALSE)</f>
        <v>20269707</v>
      </c>
      <c r="C17" s="27">
        <f>VLOOKUP($A17&amp;"BI"&amp;State2,Sheet5!$A$2:$I$295,3,FALSE)</f>
        <v>208878</v>
      </c>
      <c r="D17" s="27">
        <f>VLOOKUP($A17&amp;"BI"&amp;State2,Sheet5!$A$2:$I$295,4,FALSE)</f>
        <v>304746</v>
      </c>
      <c r="E17" s="27">
        <f>VLOOKUP($A17&amp;"BI"&amp;State2,Sheet5!$A$2:$I$295,5,FALSE)</f>
        <v>2126193816</v>
      </c>
      <c r="F17" s="28">
        <f t="shared" si="0"/>
        <v>1.03</v>
      </c>
      <c r="G17" s="28">
        <f t="shared" si="1"/>
        <v>-4.63</v>
      </c>
      <c r="H17" s="27">
        <f t="shared" si="2"/>
        <v>10179</v>
      </c>
      <c r="I17" s="28">
        <f t="shared" si="3"/>
        <v>2.35</v>
      </c>
      <c r="J17" s="28">
        <f t="shared" si="4"/>
        <v>104.9</v>
      </c>
      <c r="K17" s="28">
        <f t="shared" si="5"/>
        <v>-2.5099999999999998</v>
      </c>
      <c r="L17" s="28">
        <f t="shared" si="6"/>
        <v>1.5</v>
      </c>
      <c r="M17" s="28">
        <f t="shared" si="7"/>
        <v>-6.83</v>
      </c>
    </row>
    <row r="18" spans="1:13" x14ac:dyDescent="0.2">
      <c r="A18" s="29" t="s">
        <v>704</v>
      </c>
      <c r="B18" s="27">
        <f>VLOOKUP($A18&amp;"BI"&amp;State2,Sheet5!$A$2:$I$295,2,FALSE)</f>
        <v>20312920</v>
      </c>
      <c r="C18" s="27">
        <f>VLOOKUP($A18&amp;"BI"&amp;State2,Sheet5!$A$2:$I$295,3,FALSE)</f>
        <v>208536</v>
      </c>
      <c r="D18" s="27">
        <f>VLOOKUP($A18&amp;"BI"&amp;State2,Sheet5!$A$2:$I$295,4,FALSE)</f>
        <v>310381</v>
      </c>
      <c r="E18" s="27">
        <f>VLOOKUP($A18&amp;"BI"&amp;State2,Sheet5!$A$2:$I$295,5,FALSE)</f>
        <v>2144984875</v>
      </c>
      <c r="F18" s="28">
        <f t="shared" si="0"/>
        <v>1.03</v>
      </c>
      <c r="G18" s="28">
        <f t="shared" si="1"/>
        <v>-7.21</v>
      </c>
      <c r="H18" s="27">
        <f t="shared" si="2"/>
        <v>10286</v>
      </c>
      <c r="I18" s="28">
        <f t="shared" si="3"/>
        <v>2.4300000000000002</v>
      </c>
      <c r="J18" s="28">
        <f t="shared" si="4"/>
        <v>105.6</v>
      </c>
      <c r="K18" s="28">
        <f t="shared" si="5"/>
        <v>-5.21</v>
      </c>
      <c r="L18" s="28">
        <f t="shared" si="6"/>
        <v>1.53</v>
      </c>
      <c r="M18" s="28">
        <f t="shared" si="7"/>
        <v>-6.71</v>
      </c>
    </row>
    <row r="19" spans="1:13" x14ac:dyDescent="0.2">
      <c r="A19" s="29" t="s">
        <v>705</v>
      </c>
      <c r="B19" s="27">
        <f>VLOOKUP($A19&amp;"BI"&amp;State2,Sheet5!$A$2:$I$295,2,FALSE)</f>
        <v>20304751</v>
      </c>
      <c r="C19" s="27">
        <f>VLOOKUP($A19&amp;"BI"&amp;State2,Sheet5!$A$2:$I$295,3,FALSE)</f>
        <v>209772</v>
      </c>
      <c r="D19" s="27">
        <f>VLOOKUP($A19&amp;"BI"&amp;State2,Sheet5!$A$2:$I$295,4,FALSE)</f>
        <v>301083</v>
      </c>
      <c r="E19" s="27">
        <f>VLOOKUP($A19&amp;"BI"&amp;State2,Sheet5!$A$2:$I$295,5,FALSE)</f>
        <v>2138187060</v>
      </c>
      <c r="F19" s="28">
        <f t="shared" si="0"/>
        <v>1.03</v>
      </c>
      <c r="G19" s="28">
        <f t="shared" si="1"/>
        <v>-4.63</v>
      </c>
      <c r="H19" s="27">
        <f t="shared" si="2"/>
        <v>10193</v>
      </c>
      <c r="I19" s="28">
        <f t="shared" si="3"/>
        <v>5.0999999999999996</v>
      </c>
      <c r="J19" s="28">
        <f t="shared" si="4"/>
        <v>105.3</v>
      </c>
      <c r="K19" s="28">
        <f t="shared" si="5"/>
        <v>0.6</v>
      </c>
      <c r="L19" s="28">
        <f t="shared" si="6"/>
        <v>1.48</v>
      </c>
      <c r="M19" s="28">
        <f t="shared" si="7"/>
        <v>-4.5199999999999996</v>
      </c>
    </row>
    <row r="20" spans="1:13" x14ac:dyDescent="0.2">
      <c r="A20" s="29" t="s">
        <v>706</v>
      </c>
      <c r="B20" s="27">
        <f>VLOOKUP($A20&amp;"BI"&amp;State2,Sheet5!$A$2:$I$295,2,FALSE)</f>
        <v>20543927</v>
      </c>
      <c r="C20" s="27">
        <f>VLOOKUP($A20&amp;"BI"&amp;State2,Sheet5!$A$2:$I$295,3,FALSE)</f>
        <v>208838</v>
      </c>
      <c r="D20" s="27">
        <f>VLOOKUP($A20&amp;"BI"&amp;State2,Sheet5!$A$2:$I$295,4,FALSE)</f>
        <v>297995</v>
      </c>
      <c r="E20" s="27">
        <f>VLOOKUP($A20&amp;"BI"&amp;State2,Sheet5!$A$2:$I$295,5,FALSE)</f>
        <v>2172479840</v>
      </c>
      <c r="F20" s="28">
        <f t="shared" si="0"/>
        <v>1.02</v>
      </c>
      <c r="G20" s="28">
        <f t="shared" si="1"/>
        <v>-4.67</v>
      </c>
      <c r="H20" s="27">
        <f t="shared" si="2"/>
        <v>10403</v>
      </c>
      <c r="I20" s="28">
        <f t="shared" si="3"/>
        <v>3.47</v>
      </c>
      <c r="J20" s="28">
        <f t="shared" si="4"/>
        <v>105.75</v>
      </c>
      <c r="K20" s="28">
        <f t="shared" si="5"/>
        <v>-1.28</v>
      </c>
      <c r="L20" s="28">
        <f t="shared" si="6"/>
        <v>1.45</v>
      </c>
      <c r="M20" s="28">
        <f t="shared" si="7"/>
        <v>-7.05</v>
      </c>
    </row>
    <row r="21" spans="1:13" x14ac:dyDescent="0.2">
      <c r="A21" s="29" t="s">
        <v>707</v>
      </c>
      <c r="B21" s="27">
        <f>VLOOKUP($A21&amp;"BI"&amp;State2,Sheet5!$A$2:$I$295,2,FALSE)</f>
        <v>20639682</v>
      </c>
      <c r="C21" s="27">
        <f>VLOOKUP($A21&amp;"BI"&amp;State2,Sheet5!$A$2:$I$295,3,FALSE)</f>
        <v>203579</v>
      </c>
      <c r="D21" s="27">
        <f>VLOOKUP($A21&amp;"BI"&amp;State2,Sheet5!$A$2:$I$295,4,FALSE)</f>
        <v>290604</v>
      </c>
      <c r="E21" s="27">
        <f>VLOOKUP($A21&amp;"BI"&amp;State2,Sheet5!$A$2:$I$295,5,FALSE)</f>
        <v>2165246241</v>
      </c>
      <c r="F21" s="28">
        <f t="shared" si="0"/>
        <v>0.99</v>
      </c>
      <c r="G21" s="28">
        <f t="shared" si="1"/>
        <v>-3.88</v>
      </c>
      <c r="H21" s="27">
        <f t="shared" si="2"/>
        <v>10636</v>
      </c>
      <c r="I21" s="28">
        <f t="shared" si="3"/>
        <v>4.49</v>
      </c>
      <c r="J21" s="28">
        <f t="shared" si="4"/>
        <v>104.91</v>
      </c>
      <c r="K21" s="28">
        <f t="shared" si="5"/>
        <v>0.01</v>
      </c>
      <c r="L21" s="28">
        <f t="shared" si="6"/>
        <v>1.41</v>
      </c>
      <c r="M21" s="28">
        <f t="shared" si="7"/>
        <v>-6</v>
      </c>
    </row>
    <row r="22" spans="1:13" x14ac:dyDescent="0.2">
      <c r="A22" s="29" t="s">
        <v>708</v>
      </c>
      <c r="B22" s="27">
        <f>VLOOKUP($A22&amp;"BI"&amp;State2,Sheet5!$A$2:$I$295,2,FALSE)</f>
        <v>20612341</v>
      </c>
      <c r="C22" s="27">
        <f>VLOOKUP($A22&amp;"BI"&amp;State2,Sheet5!$A$2:$I$295,3,FALSE)</f>
        <v>208991</v>
      </c>
      <c r="D22" s="27">
        <f>VLOOKUP($A22&amp;"BI"&amp;State2,Sheet5!$A$2:$I$295,4,FALSE)</f>
        <v>307788</v>
      </c>
      <c r="E22" s="27">
        <f>VLOOKUP($A22&amp;"BI"&amp;State2,Sheet5!$A$2:$I$295,5,FALSE)</f>
        <v>2279407556</v>
      </c>
      <c r="F22" s="28">
        <f t="shared" si="0"/>
        <v>1.01</v>
      </c>
      <c r="G22" s="28">
        <f t="shared" si="1"/>
        <v>-1.94</v>
      </c>
      <c r="H22" s="27">
        <f t="shared" si="2"/>
        <v>10907</v>
      </c>
      <c r="I22" s="28">
        <f t="shared" si="3"/>
        <v>6.04</v>
      </c>
      <c r="J22" s="28">
        <f t="shared" si="4"/>
        <v>110.58</v>
      </c>
      <c r="K22" s="28">
        <f t="shared" si="5"/>
        <v>4.72</v>
      </c>
      <c r="L22" s="28">
        <f t="shared" si="6"/>
        <v>1.49</v>
      </c>
      <c r="M22" s="28">
        <f t="shared" si="7"/>
        <v>-2.61</v>
      </c>
    </row>
    <row r="23" spans="1:13" x14ac:dyDescent="0.2">
      <c r="A23" s="29" t="s">
        <v>709</v>
      </c>
      <c r="B23" s="27">
        <f>VLOOKUP($A23&amp;"BI"&amp;State2,Sheet5!$A$2:$I$295,2,FALSE)</f>
        <v>20583192</v>
      </c>
      <c r="C23" s="27">
        <f>VLOOKUP($A23&amp;"BI"&amp;State2,Sheet5!$A$2:$I$295,3,FALSE)</f>
        <v>203070</v>
      </c>
      <c r="D23" s="27">
        <f>VLOOKUP($A23&amp;"BI"&amp;State2,Sheet5!$A$2:$I$295,4,FALSE)</f>
        <v>289919</v>
      </c>
      <c r="E23" s="27">
        <f>VLOOKUP($A23&amp;"BI"&amp;State2,Sheet5!$A$2:$I$295,5,FALSE)</f>
        <v>2179522310</v>
      </c>
      <c r="F23" s="28">
        <f t="shared" si="0"/>
        <v>0.99</v>
      </c>
      <c r="G23" s="28">
        <f t="shared" si="1"/>
        <v>-3.88</v>
      </c>
      <c r="H23" s="27">
        <f t="shared" si="2"/>
        <v>10733</v>
      </c>
      <c r="I23" s="28">
        <f t="shared" si="3"/>
        <v>5.3</v>
      </c>
      <c r="J23" s="28">
        <f t="shared" si="4"/>
        <v>105.89</v>
      </c>
      <c r="K23" s="28">
        <f t="shared" si="5"/>
        <v>0.56000000000000005</v>
      </c>
      <c r="L23" s="28">
        <f t="shared" si="6"/>
        <v>1.41</v>
      </c>
      <c r="M23" s="28">
        <f t="shared" si="7"/>
        <v>-4.7300000000000004</v>
      </c>
    </row>
    <row r="24" spans="1:13" x14ac:dyDescent="0.2">
      <c r="A24" s="29" t="s">
        <v>710</v>
      </c>
      <c r="B24" s="27">
        <f>VLOOKUP($A24&amp;"BI"&amp;State2,Sheet5!$A$2:$I$295,2,FALSE)</f>
        <v>20781869</v>
      </c>
      <c r="C24" s="27">
        <f>VLOOKUP($A24&amp;"BI"&amp;State2,Sheet5!$A$2:$I$295,3,FALSE)</f>
        <v>201690</v>
      </c>
      <c r="D24" s="27">
        <f>VLOOKUP($A24&amp;"BI"&amp;State2,Sheet5!$A$2:$I$295,4,FALSE)</f>
        <v>284704</v>
      </c>
      <c r="E24" s="27">
        <f>VLOOKUP($A24&amp;"BI"&amp;State2,Sheet5!$A$2:$I$295,5,FALSE)</f>
        <v>2221508645</v>
      </c>
      <c r="F24" s="28">
        <f t="shared" si="0"/>
        <v>0.97</v>
      </c>
      <c r="G24" s="28">
        <f t="shared" si="1"/>
        <v>-4.9000000000000004</v>
      </c>
      <c r="H24" s="27">
        <f t="shared" si="2"/>
        <v>11014</v>
      </c>
      <c r="I24" s="28">
        <f t="shared" si="3"/>
        <v>5.87</v>
      </c>
      <c r="J24" s="28">
        <f t="shared" si="4"/>
        <v>106.9</v>
      </c>
      <c r="K24" s="28">
        <f t="shared" si="5"/>
        <v>1.0900000000000001</v>
      </c>
      <c r="L24" s="28">
        <f t="shared" si="6"/>
        <v>1.37</v>
      </c>
      <c r="M24" s="28">
        <f t="shared" si="7"/>
        <v>-5.52</v>
      </c>
    </row>
    <row r="25" spans="1:13" x14ac:dyDescent="0.2">
      <c r="A25" s="29" t="s">
        <v>711</v>
      </c>
      <c r="B25" s="27">
        <f>VLOOKUP($A25&amp;"BI"&amp;State2,Sheet5!$A$2:$I$295,2,FALSE)</f>
        <v>20844154</v>
      </c>
      <c r="C25" s="27">
        <f>VLOOKUP($A25&amp;"BI"&amp;State2,Sheet5!$A$2:$I$295,3,FALSE)</f>
        <v>195873</v>
      </c>
      <c r="D25" s="27">
        <f>VLOOKUP($A25&amp;"BI"&amp;State2,Sheet5!$A$2:$I$295,4,FALSE)</f>
        <v>281516</v>
      </c>
      <c r="E25" s="27">
        <f>VLOOKUP($A25&amp;"BI"&amp;State2,Sheet5!$A$2:$I$295,5,FALSE)</f>
        <v>2218576164</v>
      </c>
      <c r="F25" s="28">
        <f t="shared" si="0"/>
        <v>0.94</v>
      </c>
      <c r="G25" s="28">
        <f t="shared" si="1"/>
        <v>-5.05</v>
      </c>
      <c r="H25" s="27">
        <f t="shared" si="2"/>
        <v>11327</v>
      </c>
      <c r="I25" s="28">
        <f t="shared" si="3"/>
        <v>6.5</v>
      </c>
      <c r="J25" s="28">
        <f t="shared" si="4"/>
        <v>106.44</v>
      </c>
      <c r="K25" s="28">
        <f t="shared" si="5"/>
        <v>1.46</v>
      </c>
      <c r="L25" s="28">
        <f t="shared" si="6"/>
        <v>1.35</v>
      </c>
      <c r="M25" s="28">
        <f t="shared" si="7"/>
        <v>-4.26</v>
      </c>
    </row>
    <row r="26" spans="1:13" x14ac:dyDescent="0.2">
      <c r="A26" s="29" t="s">
        <v>712</v>
      </c>
      <c r="B26" s="27">
        <f>VLOOKUP($A26&amp;"BI"&amp;State2,Sheet5!$A$2:$I$295,2,FALSE)</f>
        <v>20795954</v>
      </c>
      <c r="C26" s="27">
        <f>VLOOKUP($A26&amp;"BI"&amp;State2,Sheet5!$A$2:$I$295,3,FALSE)</f>
        <v>200168</v>
      </c>
      <c r="D26" s="27">
        <f>VLOOKUP($A26&amp;"BI"&amp;State2,Sheet5!$A$2:$I$295,4,FALSE)</f>
        <v>293556</v>
      </c>
      <c r="E26" s="27">
        <f>VLOOKUP($A26&amp;"BI"&amp;State2,Sheet5!$A$2:$I$295,5,FALSE)</f>
        <v>2323750413</v>
      </c>
      <c r="F26" s="28">
        <f t="shared" si="0"/>
        <v>0.96</v>
      </c>
      <c r="G26" s="28">
        <f t="shared" si="1"/>
        <v>-4.95</v>
      </c>
      <c r="H26" s="27">
        <f t="shared" si="2"/>
        <v>11609</v>
      </c>
      <c r="I26" s="28">
        <f t="shared" si="3"/>
        <v>6.44</v>
      </c>
      <c r="J26" s="28">
        <f t="shared" si="4"/>
        <v>111.74</v>
      </c>
      <c r="K26" s="28">
        <f t="shared" si="5"/>
        <v>1.05</v>
      </c>
      <c r="L26" s="28">
        <f t="shared" si="6"/>
        <v>1.41</v>
      </c>
      <c r="M26" s="28">
        <f t="shared" si="7"/>
        <v>-5.37</v>
      </c>
    </row>
    <row r="27" spans="1:13" x14ac:dyDescent="0.2">
      <c r="A27" s="29" t="s">
        <v>713</v>
      </c>
      <c r="B27" s="27">
        <f>VLOOKUP($A27&amp;"BI"&amp;State2,Sheet5!$A$2:$I$295,2,FALSE)</f>
        <v>20801062</v>
      </c>
      <c r="C27" s="27">
        <f>VLOOKUP($A27&amp;"BI"&amp;State2,Sheet5!$A$2:$I$295,3,FALSE)</f>
        <v>195116</v>
      </c>
      <c r="D27" s="27">
        <f>VLOOKUP($A27&amp;"BI"&amp;State2,Sheet5!$A$2:$I$295,4,FALSE)</f>
        <v>274288</v>
      </c>
      <c r="E27" s="27">
        <f>VLOOKUP($A27&amp;"BI"&amp;State2,Sheet5!$A$2:$I$295,5,FALSE)</f>
        <v>2222803229</v>
      </c>
      <c r="F27" s="28">
        <f t="shared" si="0"/>
        <v>0.94</v>
      </c>
      <c r="G27" s="28">
        <f t="shared" si="1"/>
        <v>-5.05</v>
      </c>
      <c r="H27" s="27">
        <f t="shared" si="2"/>
        <v>11392</v>
      </c>
      <c r="I27" s="28">
        <f t="shared" si="3"/>
        <v>6.14</v>
      </c>
      <c r="J27" s="28">
        <f t="shared" si="4"/>
        <v>106.86</v>
      </c>
      <c r="K27" s="28">
        <f t="shared" si="5"/>
        <v>0.92</v>
      </c>
      <c r="L27" s="28">
        <f t="shared" si="6"/>
        <v>1.32</v>
      </c>
      <c r="M27" s="28">
        <f t="shared" si="7"/>
        <v>-6.38</v>
      </c>
    </row>
    <row r="28" spans="1:13" x14ac:dyDescent="0.2">
      <c r="A28" s="29" t="s">
        <v>714</v>
      </c>
      <c r="B28" s="27">
        <f>VLOOKUP($A28&amp;"BI"&amp;State2,Sheet5!$A$2:$I$295,2,FALSE)</f>
        <v>20967963</v>
      </c>
      <c r="C28" s="27">
        <f>VLOOKUP($A28&amp;"BI"&amp;State2,Sheet5!$A$2:$I$295,3,FALSE)</f>
        <v>197619</v>
      </c>
      <c r="D28" s="27">
        <f>VLOOKUP($A28&amp;"BI"&amp;State2,Sheet5!$A$2:$I$295,4,FALSE)</f>
        <v>264781</v>
      </c>
      <c r="E28" s="27">
        <f>VLOOKUP($A28&amp;"BI"&amp;State2,Sheet5!$A$2:$I$295,5,FALSE)</f>
        <v>2289462668</v>
      </c>
      <c r="F28" s="28">
        <f t="shared" si="0"/>
        <v>0.94</v>
      </c>
      <c r="G28" s="28">
        <f t="shared" si="1"/>
        <v>-3.09</v>
      </c>
      <c r="H28" s="27">
        <f t="shared" si="2"/>
        <v>11585</v>
      </c>
      <c r="I28" s="28">
        <f t="shared" si="3"/>
        <v>5.18</v>
      </c>
      <c r="J28" s="28">
        <f t="shared" si="4"/>
        <v>109.19</v>
      </c>
      <c r="K28" s="28">
        <f t="shared" si="5"/>
        <v>2.14</v>
      </c>
      <c r="L28" s="28">
        <f t="shared" si="6"/>
        <v>1.26</v>
      </c>
      <c r="M28" s="28">
        <f t="shared" si="7"/>
        <v>-8.0299999999999994</v>
      </c>
    </row>
    <row r="29" spans="1:13" x14ac:dyDescent="0.2">
      <c r="A29" s="29" t="s">
        <v>715</v>
      </c>
      <c r="B29" s="27">
        <f>VLOOKUP($A29&amp;"BI"&amp;State2,Sheet5!$A$2:$I$295,2,FALSE)</f>
        <v>21037631</v>
      </c>
      <c r="C29" s="27">
        <f>VLOOKUP($A29&amp;"BI"&amp;State2,Sheet5!$A$2:$I$295,3,FALSE)</f>
        <v>190521</v>
      </c>
      <c r="D29" s="27">
        <f>VLOOKUP($A29&amp;"BI"&amp;State2,Sheet5!$A$2:$I$295,4,FALSE)</f>
        <v>255281</v>
      </c>
      <c r="E29" s="27">
        <f>VLOOKUP($A29&amp;"BI"&amp;State2,Sheet5!$A$2:$I$295,5,FALSE)</f>
        <v>2288642296</v>
      </c>
      <c r="F29" s="28">
        <f t="shared" si="0"/>
        <v>0.91</v>
      </c>
      <c r="G29" s="28">
        <f t="shared" si="1"/>
        <v>-3.19</v>
      </c>
      <c r="H29" s="27">
        <f t="shared" si="2"/>
        <v>12013</v>
      </c>
      <c r="I29" s="28">
        <f t="shared" si="3"/>
        <v>6.06</v>
      </c>
      <c r="J29" s="28">
        <f t="shared" si="4"/>
        <v>108.79</v>
      </c>
      <c r="K29" s="28">
        <f t="shared" si="5"/>
        <v>2.21</v>
      </c>
      <c r="L29" s="28">
        <f t="shared" si="6"/>
        <v>1.21</v>
      </c>
      <c r="M29" s="28">
        <f t="shared" si="7"/>
        <v>-10.37</v>
      </c>
    </row>
    <row r="30" spans="1:13" x14ac:dyDescent="0.2">
      <c r="A30" s="29" t="s">
        <v>716</v>
      </c>
      <c r="B30" s="27">
        <f>VLOOKUP($A30&amp;"BI"&amp;State2,Sheet5!$A$2:$I$295,2,FALSE)</f>
        <v>20955362</v>
      </c>
      <c r="C30" s="27">
        <f>VLOOKUP($A30&amp;"BI"&amp;State2,Sheet5!$A$2:$I$295,3,FALSE)</f>
        <v>192753</v>
      </c>
      <c r="D30" s="27">
        <f>VLOOKUP($A30&amp;"BI"&amp;State2,Sheet5!$A$2:$I$295,4,FALSE)</f>
        <v>272171</v>
      </c>
      <c r="E30" s="27">
        <f>VLOOKUP($A30&amp;"BI"&amp;State2,Sheet5!$A$2:$I$295,5,FALSE)</f>
        <v>2391632026</v>
      </c>
      <c r="F30" s="28">
        <f t="shared" si="0"/>
        <v>0.92</v>
      </c>
      <c r="G30" s="28">
        <f t="shared" si="1"/>
        <v>-4.17</v>
      </c>
      <c r="H30" s="27">
        <f t="shared" si="2"/>
        <v>12408</v>
      </c>
      <c r="I30" s="28">
        <f t="shared" si="3"/>
        <v>6.88</v>
      </c>
      <c r="J30" s="28">
        <f t="shared" si="4"/>
        <v>114.13</v>
      </c>
      <c r="K30" s="28">
        <f t="shared" si="5"/>
        <v>2.14</v>
      </c>
      <c r="L30" s="28">
        <f t="shared" si="6"/>
        <v>1.3</v>
      </c>
      <c r="M30" s="28">
        <f t="shared" si="7"/>
        <v>-7.8</v>
      </c>
    </row>
    <row r="31" spans="1:13" x14ac:dyDescent="0.2">
      <c r="A31" s="29" t="s">
        <v>717</v>
      </c>
      <c r="B31" s="27">
        <f>VLOOKUP($A31&amp;"BI"&amp;State2,Sheet5!$A$2:$I$295,2,FALSE)</f>
        <v>20867812</v>
      </c>
      <c r="C31" s="27">
        <f>VLOOKUP($A31&amp;"BI"&amp;State2,Sheet5!$A$2:$I$295,3,FALSE)</f>
        <v>188775</v>
      </c>
      <c r="D31" s="27">
        <f>VLOOKUP($A31&amp;"BI"&amp;State2,Sheet5!$A$2:$I$295,4,FALSE)</f>
        <v>262605</v>
      </c>
      <c r="E31" s="27">
        <f>VLOOKUP($A31&amp;"BI"&amp;State2,Sheet5!$A$2:$I$295,5,FALSE)</f>
        <v>2207750931</v>
      </c>
      <c r="F31" s="28">
        <f t="shared" si="0"/>
        <v>0.9</v>
      </c>
      <c r="G31" s="28">
        <f t="shared" si="1"/>
        <v>-4.26</v>
      </c>
      <c r="H31" s="27">
        <f t="shared" si="2"/>
        <v>11695</v>
      </c>
      <c r="I31" s="28">
        <f t="shared" si="3"/>
        <v>2.66</v>
      </c>
      <c r="J31" s="28">
        <f t="shared" si="4"/>
        <v>105.8</v>
      </c>
      <c r="K31" s="28">
        <f t="shared" si="5"/>
        <v>-0.99</v>
      </c>
      <c r="L31" s="28">
        <f t="shared" si="6"/>
        <v>1.26</v>
      </c>
      <c r="M31" s="28">
        <f t="shared" si="7"/>
        <v>-4.55</v>
      </c>
    </row>
    <row r="32" spans="1:13" x14ac:dyDescent="0.2">
      <c r="A32" s="29" t="s">
        <v>718</v>
      </c>
    </row>
    <row r="33" spans="1:13" x14ac:dyDescent="0.2">
      <c r="A33" s="29" t="s">
        <v>719</v>
      </c>
    </row>
    <row r="35" spans="1:13" x14ac:dyDescent="0.2">
      <c r="A35" s="18"/>
      <c r="B35" s="52"/>
      <c r="C35" s="19"/>
      <c r="D35" s="19"/>
      <c r="E35" s="19"/>
      <c r="F35" s="20"/>
      <c r="G35" s="20" t="s">
        <v>47</v>
      </c>
      <c r="H35" s="19"/>
      <c r="I35" s="20" t="s">
        <v>47</v>
      </c>
      <c r="J35" s="20"/>
      <c r="K35" s="20" t="s">
        <v>47</v>
      </c>
      <c r="L35" s="20"/>
      <c r="M35" s="20" t="s">
        <v>47</v>
      </c>
    </row>
    <row r="36" spans="1:13" x14ac:dyDescent="0.2">
      <c r="A36" s="17"/>
      <c r="B36" s="52"/>
      <c r="C36" s="19" t="s">
        <v>48</v>
      </c>
      <c r="D36" s="19" t="s">
        <v>48</v>
      </c>
      <c r="E36" s="19"/>
      <c r="F36" s="19" t="s">
        <v>7</v>
      </c>
      <c r="G36" s="20" t="s">
        <v>49</v>
      </c>
      <c r="H36" s="19" t="s">
        <v>7</v>
      </c>
      <c r="I36" s="20" t="s">
        <v>49</v>
      </c>
      <c r="J36" s="20"/>
      <c r="K36" s="20" t="s">
        <v>49</v>
      </c>
      <c r="L36" s="20" t="s">
        <v>8</v>
      </c>
      <c r="M36" s="20" t="s">
        <v>49</v>
      </c>
    </row>
    <row r="37" spans="1:13" x14ac:dyDescent="0.2">
      <c r="A37" s="47" t="s">
        <v>726</v>
      </c>
      <c r="B37" s="52" t="s">
        <v>50</v>
      </c>
      <c r="C37" s="19" t="s">
        <v>7</v>
      </c>
      <c r="D37" s="19" t="s">
        <v>51</v>
      </c>
      <c r="E37" s="19" t="s">
        <v>7</v>
      </c>
      <c r="F37" s="20" t="s">
        <v>11</v>
      </c>
      <c r="G37" s="20" t="s">
        <v>52</v>
      </c>
      <c r="H37" s="19" t="s">
        <v>11</v>
      </c>
      <c r="I37" s="20" t="s">
        <v>52</v>
      </c>
      <c r="J37" s="20" t="s">
        <v>10</v>
      </c>
      <c r="K37" s="20" t="s">
        <v>52</v>
      </c>
      <c r="L37" s="20" t="s">
        <v>11</v>
      </c>
      <c r="M37" s="20" t="s">
        <v>52</v>
      </c>
    </row>
    <row r="38" spans="1:13" x14ac:dyDescent="0.2">
      <c r="A38" s="48" t="s">
        <v>19</v>
      </c>
      <c r="B38" s="53" t="s">
        <v>53</v>
      </c>
      <c r="C38" s="49" t="s">
        <v>51</v>
      </c>
      <c r="D38" s="49" t="s">
        <v>8</v>
      </c>
      <c r="E38" s="49" t="s">
        <v>54</v>
      </c>
      <c r="F38" s="50" t="s">
        <v>13</v>
      </c>
      <c r="G38" s="50" t="s">
        <v>6</v>
      </c>
      <c r="H38" s="49" t="s">
        <v>22</v>
      </c>
      <c r="I38" s="50" t="s">
        <v>6</v>
      </c>
      <c r="J38" s="50" t="s">
        <v>55</v>
      </c>
      <c r="K38" s="50" t="s">
        <v>6</v>
      </c>
      <c r="L38" s="50" t="s">
        <v>13</v>
      </c>
      <c r="M38" s="50" t="s">
        <v>6</v>
      </c>
    </row>
    <row r="40" spans="1:13" x14ac:dyDescent="0.2">
      <c r="A40" s="29" t="s">
        <v>700</v>
      </c>
      <c r="B40" s="27">
        <f t="shared" ref="B40:E55" si="8">SUM(B11:B14)</f>
        <v>78468676</v>
      </c>
      <c r="C40" s="27">
        <f t="shared" si="8"/>
        <v>871367</v>
      </c>
      <c r="D40" s="27">
        <f t="shared" si="8"/>
        <v>1269712</v>
      </c>
      <c r="E40" s="27">
        <f t="shared" si="8"/>
        <v>8518369601</v>
      </c>
      <c r="F40" s="28">
        <f>IF(B40=0,0,ROUND((C40/B40)*100,2))</f>
        <v>1.1100000000000001</v>
      </c>
      <c r="G40" s="28" t="str">
        <f>IF(ISERR((F36-F40)/F36),"*****",ROUND(-((F36-F40)/F36)*100,2))</f>
        <v>*****</v>
      </c>
      <c r="H40" s="27">
        <f>IF(C40=0,0,ROUND(E40/C40,0))</f>
        <v>9776</v>
      </c>
      <c r="I40" s="28" t="str">
        <f>IF(ISERR((H36-H40)/H36),"******",ROUND(-((H36-H40)/H36)*100,2))</f>
        <v>******</v>
      </c>
      <c r="J40" s="28">
        <f>IF(B40=0,0,ROUND(E40/B40,2))</f>
        <v>108.56</v>
      </c>
      <c r="K40" s="28" t="str">
        <f>IF(ISERR((J36-J40)/J36),"******",ROUND(-((J36-J40)/J36)*100,2))</f>
        <v>******</v>
      </c>
      <c r="L40" s="28">
        <f>IF(B40=0,0,ROUND((D40/B40)*100,2))</f>
        <v>1.62</v>
      </c>
      <c r="M40" s="28" t="str">
        <f>IF(ISERR((L36-L40)/L36),"******",ROUND(-((L36-L40)/L36)*100,2))</f>
        <v>******</v>
      </c>
    </row>
    <row r="41" spans="1:13" x14ac:dyDescent="0.2">
      <c r="A41" s="29" t="s">
        <v>701</v>
      </c>
      <c r="B41" s="27">
        <f t="shared" si="8"/>
        <v>79084926</v>
      </c>
      <c r="C41" s="27">
        <f t="shared" si="8"/>
        <v>866371</v>
      </c>
      <c r="D41" s="27">
        <f t="shared" si="8"/>
        <v>1267937</v>
      </c>
      <c r="E41" s="27">
        <f t="shared" si="8"/>
        <v>8549533352</v>
      </c>
      <c r="F41" s="28">
        <f t="shared" ref="F41:F57" si="9">IF(B41=0,0,ROUND((C41/B41)*100,2))</f>
        <v>1.1000000000000001</v>
      </c>
      <c r="G41" s="28" t="str">
        <f t="shared" ref="G41:G57" si="10">IF(ISERR((F37-F41)/F37),"*****",ROUND(-((F37-F41)/F37)*100,2))</f>
        <v>*****</v>
      </c>
      <c r="H41" s="27">
        <f t="shared" ref="H41:H57" si="11">IF(C41=0,0,ROUND(E41/C41,0))</f>
        <v>9868</v>
      </c>
      <c r="I41" s="28" t="str">
        <f t="shared" ref="I41:I57" si="12">IF(ISERR((H37-H41)/H37),"******",ROUND(-((H37-H41)/H37)*100,2))</f>
        <v>******</v>
      </c>
      <c r="J41" s="28">
        <f t="shared" ref="J41:J57" si="13">IF(B41=0,0,ROUND(E41/B41,2))</f>
        <v>108.11</v>
      </c>
      <c r="K41" s="28" t="str">
        <f t="shared" ref="K41:K57" si="14">IF(ISERR((J37-J41)/J37),"******",ROUND(-((J37-J41)/J37)*100,2))</f>
        <v>******</v>
      </c>
      <c r="L41" s="28">
        <f t="shared" ref="L41:L57" si="15">IF(B41=0,0,ROUND((D41/B41)*100,2))</f>
        <v>1.6</v>
      </c>
      <c r="M41" s="28" t="str">
        <f t="shared" ref="M41:M57" si="16">IF(ISERR((L37-L41)/L37),"******",ROUND(-((L37-L41)/L37)*100,2))</f>
        <v>******</v>
      </c>
    </row>
    <row r="42" spans="1:13" x14ac:dyDescent="0.2">
      <c r="A42" s="29" t="s">
        <v>702</v>
      </c>
      <c r="B42" s="27">
        <f t="shared" si="8"/>
        <v>79551576</v>
      </c>
      <c r="C42" s="27">
        <f t="shared" si="8"/>
        <v>862316</v>
      </c>
      <c r="D42" s="27">
        <f t="shared" si="8"/>
        <v>1264946</v>
      </c>
      <c r="E42" s="27">
        <f t="shared" si="8"/>
        <v>8567500415</v>
      </c>
      <c r="F42" s="28">
        <f t="shared" si="9"/>
        <v>1.08</v>
      </c>
      <c r="G42" s="28" t="str">
        <f t="shared" si="10"/>
        <v>*****</v>
      </c>
      <c r="H42" s="27">
        <f t="shared" si="11"/>
        <v>9935</v>
      </c>
      <c r="I42" s="28" t="str">
        <f t="shared" si="12"/>
        <v>******</v>
      </c>
      <c r="J42" s="28">
        <f t="shared" si="13"/>
        <v>107.7</v>
      </c>
      <c r="K42" s="28" t="str">
        <f t="shared" si="14"/>
        <v>******</v>
      </c>
      <c r="L42" s="28">
        <f t="shared" si="15"/>
        <v>1.59</v>
      </c>
      <c r="M42" s="28" t="str">
        <f t="shared" si="16"/>
        <v>******</v>
      </c>
    </row>
    <row r="43" spans="1:13" x14ac:dyDescent="0.2">
      <c r="A43" s="29" t="s">
        <v>703</v>
      </c>
      <c r="B43" s="27">
        <f t="shared" si="8"/>
        <v>80043121</v>
      </c>
      <c r="C43" s="27">
        <f t="shared" si="8"/>
        <v>857201</v>
      </c>
      <c r="D43" s="27">
        <f t="shared" si="8"/>
        <v>1252208</v>
      </c>
      <c r="E43" s="27">
        <f t="shared" si="8"/>
        <v>8565542152</v>
      </c>
      <c r="F43" s="28">
        <f t="shared" si="9"/>
        <v>1.07</v>
      </c>
      <c r="G43" s="28" t="str">
        <f t="shared" si="10"/>
        <v>*****</v>
      </c>
      <c r="H43" s="27">
        <f t="shared" si="11"/>
        <v>9992</v>
      </c>
      <c r="I43" s="28" t="str">
        <f t="shared" si="12"/>
        <v>******</v>
      </c>
      <c r="J43" s="28">
        <f t="shared" si="13"/>
        <v>107.01</v>
      </c>
      <c r="K43" s="28" t="str">
        <f t="shared" si="14"/>
        <v>******</v>
      </c>
      <c r="L43" s="28">
        <f t="shared" si="15"/>
        <v>1.56</v>
      </c>
      <c r="M43" s="28" t="str">
        <f t="shared" si="16"/>
        <v>******</v>
      </c>
    </row>
    <row r="44" spans="1:13" x14ac:dyDescent="0.2">
      <c r="A44" s="29" t="s">
        <v>704</v>
      </c>
      <c r="B44" s="27">
        <f t="shared" si="8"/>
        <v>80527229</v>
      </c>
      <c r="C44" s="27">
        <f t="shared" si="8"/>
        <v>845763</v>
      </c>
      <c r="D44" s="27">
        <f t="shared" si="8"/>
        <v>1237190</v>
      </c>
      <c r="E44" s="27">
        <f t="shared" si="8"/>
        <v>8501553362</v>
      </c>
      <c r="F44" s="28">
        <f t="shared" si="9"/>
        <v>1.05</v>
      </c>
      <c r="G44" s="28">
        <f t="shared" si="10"/>
        <v>-5.41</v>
      </c>
      <c r="H44" s="27">
        <f t="shared" si="11"/>
        <v>10052</v>
      </c>
      <c r="I44" s="28">
        <f t="shared" si="12"/>
        <v>2.82</v>
      </c>
      <c r="J44" s="28">
        <f t="shared" si="13"/>
        <v>105.57</v>
      </c>
      <c r="K44" s="28">
        <f t="shared" si="14"/>
        <v>-2.75</v>
      </c>
      <c r="L44" s="28">
        <f t="shared" si="15"/>
        <v>1.54</v>
      </c>
      <c r="M44" s="28">
        <f t="shared" si="16"/>
        <v>-4.9400000000000004</v>
      </c>
    </row>
    <row r="45" spans="1:13" x14ac:dyDescent="0.2">
      <c r="A45" s="29" t="s">
        <v>705</v>
      </c>
      <c r="B45" s="27">
        <f t="shared" si="8"/>
        <v>80987898</v>
      </c>
      <c r="C45" s="27">
        <f t="shared" si="8"/>
        <v>841365</v>
      </c>
      <c r="D45" s="27">
        <f t="shared" si="8"/>
        <v>1230549</v>
      </c>
      <c r="E45" s="27">
        <f t="shared" si="8"/>
        <v>8562630343</v>
      </c>
      <c r="F45" s="28">
        <f t="shared" si="9"/>
        <v>1.04</v>
      </c>
      <c r="G45" s="28">
        <f t="shared" si="10"/>
        <v>-5.45</v>
      </c>
      <c r="H45" s="27">
        <f t="shared" si="11"/>
        <v>10177</v>
      </c>
      <c r="I45" s="28">
        <f t="shared" si="12"/>
        <v>3.13</v>
      </c>
      <c r="J45" s="28">
        <f t="shared" si="13"/>
        <v>105.73</v>
      </c>
      <c r="K45" s="28">
        <f t="shared" si="14"/>
        <v>-2.2000000000000002</v>
      </c>
      <c r="L45" s="28">
        <f t="shared" si="15"/>
        <v>1.52</v>
      </c>
      <c r="M45" s="28">
        <f t="shared" si="16"/>
        <v>-5</v>
      </c>
    </row>
    <row r="46" spans="1:13" x14ac:dyDescent="0.2">
      <c r="A46" s="29" t="s">
        <v>706</v>
      </c>
      <c r="B46" s="27">
        <f t="shared" si="8"/>
        <v>81431305</v>
      </c>
      <c r="C46" s="27">
        <f t="shared" si="8"/>
        <v>836024</v>
      </c>
      <c r="D46" s="27">
        <f t="shared" si="8"/>
        <v>1214205</v>
      </c>
      <c r="E46" s="27">
        <f t="shared" si="8"/>
        <v>8581845591</v>
      </c>
      <c r="F46" s="28">
        <f t="shared" si="9"/>
        <v>1.03</v>
      </c>
      <c r="G46" s="28">
        <f t="shared" si="10"/>
        <v>-4.63</v>
      </c>
      <c r="H46" s="27">
        <f t="shared" si="11"/>
        <v>10265</v>
      </c>
      <c r="I46" s="28">
        <f t="shared" si="12"/>
        <v>3.32</v>
      </c>
      <c r="J46" s="28">
        <f t="shared" si="13"/>
        <v>105.39</v>
      </c>
      <c r="K46" s="28">
        <f t="shared" si="14"/>
        <v>-2.14</v>
      </c>
      <c r="L46" s="28">
        <f t="shared" si="15"/>
        <v>1.49</v>
      </c>
      <c r="M46" s="28">
        <f t="shared" si="16"/>
        <v>-6.29</v>
      </c>
    </row>
    <row r="47" spans="1:13" x14ac:dyDescent="0.2">
      <c r="A47" s="29" t="s">
        <v>707</v>
      </c>
      <c r="B47" s="27">
        <f t="shared" si="8"/>
        <v>81801280</v>
      </c>
      <c r="C47" s="27">
        <f t="shared" si="8"/>
        <v>830725</v>
      </c>
      <c r="D47" s="27">
        <f t="shared" si="8"/>
        <v>1200063</v>
      </c>
      <c r="E47" s="27">
        <f t="shared" si="8"/>
        <v>8620898016</v>
      </c>
      <c r="F47" s="28">
        <f t="shared" si="9"/>
        <v>1.02</v>
      </c>
      <c r="G47" s="28">
        <f t="shared" si="10"/>
        <v>-4.67</v>
      </c>
      <c r="H47" s="27">
        <f t="shared" si="11"/>
        <v>10378</v>
      </c>
      <c r="I47" s="28">
        <f t="shared" si="12"/>
        <v>3.86</v>
      </c>
      <c r="J47" s="28">
        <f t="shared" si="13"/>
        <v>105.39</v>
      </c>
      <c r="K47" s="28">
        <f t="shared" si="14"/>
        <v>-1.51</v>
      </c>
      <c r="L47" s="28">
        <f t="shared" si="15"/>
        <v>1.47</v>
      </c>
      <c r="M47" s="28">
        <f t="shared" si="16"/>
        <v>-5.77</v>
      </c>
    </row>
    <row r="48" spans="1:13" x14ac:dyDescent="0.2">
      <c r="A48" s="29" t="s">
        <v>708</v>
      </c>
      <c r="B48" s="27">
        <f t="shared" si="8"/>
        <v>82100701</v>
      </c>
      <c r="C48" s="27">
        <f t="shared" si="8"/>
        <v>831180</v>
      </c>
      <c r="D48" s="27">
        <f t="shared" si="8"/>
        <v>1197470</v>
      </c>
      <c r="E48" s="27">
        <f t="shared" si="8"/>
        <v>8755320697</v>
      </c>
      <c r="F48" s="28">
        <f t="shared" si="9"/>
        <v>1.01</v>
      </c>
      <c r="G48" s="28">
        <f t="shared" si="10"/>
        <v>-3.81</v>
      </c>
      <c r="H48" s="27">
        <f t="shared" si="11"/>
        <v>10534</v>
      </c>
      <c r="I48" s="28">
        <f t="shared" si="12"/>
        <v>4.8</v>
      </c>
      <c r="J48" s="28">
        <f t="shared" si="13"/>
        <v>106.64</v>
      </c>
      <c r="K48" s="28">
        <f t="shared" si="14"/>
        <v>1.01</v>
      </c>
      <c r="L48" s="28">
        <f t="shared" si="15"/>
        <v>1.46</v>
      </c>
      <c r="M48" s="28">
        <f t="shared" si="16"/>
        <v>-5.19</v>
      </c>
    </row>
    <row r="49" spans="1:13" x14ac:dyDescent="0.2">
      <c r="A49" s="29" t="s">
        <v>709</v>
      </c>
      <c r="B49" s="27">
        <f t="shared" si="8"/>
        <v>82379142</v>
      </c>
      <c r="C49" s="27">
        <f t="shared" si="8"/>
        <v>824478</v>
      </c>
      <c r="D49" s="27">
        <f t="shared" si="8"/>
        <v>1186306</v>
      </c>
      <c r="E49" s="27">
        <f t="shared" si="8"/>
        <v>8796655947</v>
      </c>
      <c r="F49" s="28">
        <f t="shared" si="9"/>
        <v>1</v>
      </c>
      <c r="G49" s="28">
        <f t="shared" si="10"/>
        <v>-3.85</v>
      </c>
      <c r="H49" s="27">
        <f t="shared" si="11"/>
        <v>10669</v>
      </c>
      <c r="I49" s="28">
        <f t="shared" si="12"/>
        <v>4.83</v>
      </c>
      <c r="J49" s="28">
        <f t="shared" si="13"/>
        <v>106.78</v>
      </c>
      <c r="K49" s="28">
        <f t="shared" si="14"/>
        <v>0.99</v>
      </c>
      <c r="L49" s="28">
        <f t="shared" si="15"/>
        <v>1.44</v>
      </c>
      <c r="M49" s="28">
        <f t="shared" si="16"/>
        <v>-5.26</v>
      </c>
    </row>
    <row r="50" spans="1:13" x14ac:dyDescent="0.2">
      <c r="A50" s="29" t="s">
        <v>710</v>
      </c>
      <c r="B50" s="27">
        <f t="shared" si="8"/>
        <v>82617084</v>
      </c>
      <c r="C50" s="27">
        <f t="shared" si="8"/>
        <v>817330</v>
      </c>
      <c r="D50" s="27">
        <f t="shared" si="8"/>
        <v>1173015</v>
      </c>
      <c r="E50" s="27">
        <f t="shared" si="8"/>
        <v>8845684752</v>
      </c>
      <c r="F50" s="28">
        <f t="shared" si="9"/>
        <v>0.99</v>
      </c>
      <c r="G50" s="28">
        <f t="shared" si="10"/>
        <v>-3.88</v>
      </c>
      <c r="H50" s="27">
        <f t="shared" si="11"/>
        <v>10823</v>
      </c>
      <c r="I50" s="28">
        <f t="shared" si="12"/>
        <v>5.44</v>
      </c>
      <c r="J50" s="28">
        <f t="shared" si="13"/>
        <v>107.07</v>
      </c>
      <c r="K50" s="28">
        <f t="shared" si="14"/>
        <v>1.59</v>
      </c>
      <c r="L50" s="28">
        <f t="shared" si="15"/>
        <v>1.42</v>
      </c>
      <c r="M50" s="28">
        <f t="shared" si="16"/>
        <v>-4.7</v>
      </c>
    </row>
    <row r="51" spans="1:13" x14ac:dyDescent="0.2">
      <c r="A51" s="29" t="s">
        <v>711</v>
      </c>
      <c r="B51" s="27">
        <f t="shared" si="8"/>
        <v>82821556</v>
      </c>
      <c r="C51" s="27">
        <f t="shared" si="8"/>
        <v>809624</v>
      </c>
      <c r="D51" s="27">
        <f t="shared" si="8"/>
        <v>1163927</v>
      </c>
      <c r="E51" s="27">
        <f t="shared" si="8"/>
        <v>8899014675</v>
      </c>
      <c r="F51" s="28">
        <f t="shared" si="9"/>
        <v>0.98</v>
      </c>
      <c r="G51" s="28">
        <f t="shared" si="10"/>
        <v>-3.92</v>
      </c>
      <c r="H51" s="27">
        <f t="shared" si="11"/>
        <v>10992</v>
      </c>
      <c r="I51" s="28">
        <f t="shared" si="12"/>
        <v>5.92</v>
      </c>
      <c r="J51" s="28">
        <f t="shared" si="13"/>
        <v>107.45</v>
      </c>
      <c r="K51" s="28">
        <f t="shared" si="14"/>
        <v>1.95</v>
      </c>
      <c r="L51" s="28">
        <f t="shared" si="15"/>
        <v>1.41</v>
      </c>
      <c r="M51" s="28">
        <f t="shared" si="16"/>
        <v>-4.08</v>
      </c>
    </row>
    <row r="52" spans="1:13" x14ac:dyDescent="0.2">
      <c r="A52" s="29" t="s">
        <v>712</v>
      </c>
      <c r="B52" s="27">
        <f t="shared" si="8"/>
        <v>83005169</v>
      </c>
      <c r="C52" s="27">
        <f t="shared" si="8"/>
        <v>800801</v>
      </c>
      <c r="D52" s="27">
        <f t="shared" si="8"/>
        <v>1149695</v>
      </c>
      <c r="E52" s="27">
        <f t="shared" si="8"/>
        <v>8943357532</v>
      </c>
      <c r="F52" s="28">
        <f t="shared" si="9"/>
        <v>0.96</v>
      </c>
      <c r="G52" s="28">
        <f t="shared" si="10"/>
        <v>-4.95</v>
      </c>
      <c r="H52" s="27">
        <f t="shared" si="11"/>
        <v>11168</v>
      </c>
      <c r="I52" s="28">
        <f t="shared" si="12"/>
        <v>6.02</v>
      </c>
      <c r="J52" s="28">
        <f t="shared" si="13"/>
        <v>107.74</v>
      </c>
      <c r="K52" s="28">
        <f t="shared" si="14"/>
        <v>1.03</v>
      </c>
      <c r="L52" s="28">
        <f t="shared" si="15"/>
        <v>1.39</v>
      </c>
      <c r="M52" s="28">
        <f t="shared" si="16"/>
        <v>-4.79</v>
      </c>
    </row>
    <row r="53" spans="1:13" x14ac:dyDescent="0.2">
      <c r="A53" s="29" t="s">
        <v>713</v>
      </c>
      <c r="B53" s="27">
        <f t="shared" si="8"/>
        <v>83223039</v>
      </c>
      <c r="C53" s="27">
        <f t="shared" si="8"/>
        <v>792847</v>
      </c>
      <c r="D53" s="27">
        <f t="shared" si="8"/>
        <v>1134064</v>
      </c>
      <c r="E53" s="27">
        <f t="shared" si="8"/>
        <v>8986638451</v>
      </c>
      <c r="F53" s="28">
        <f t="shared" si="9"/>
        <v>0.95</v>
      </c>
      <c r="G53" s="28">
        <f t="shared" si="10"/>
        <v>-5</v>
      </c>
      <c r="H53" s="27">
        <f t="shared" si="11"/>
        <v>11335</v>
      </c>
      <c r="I53" s="28">
        <f t="shared" si="12"/>
        <v>6.24</v>
      </c>
      <c r="J53" s="28">
        <f t="shared" si="13"/>
        <v>107.98</v>
      </c>
      <c r="K53" s="28">
        <f t="shared" si="14"/>
        <v>1.1200000000000001</v>
      </c>
      <c r="L53" s="28">
        <f t="shared" si="15"/>
        <v>1.36</v>
      </c>
      <c r="M53" s="28">
        <f t="shared" si="16"/>
        <v>-5.56</v>
      </c>
    </row>
    <row r="54" spans="1:13" x14ac:dyDescent="0.2">
      <c r="A54" s="29" t="s">
        <v>714</v>
      </c>
      <c r="B54" s="27">
        <f t="shared" si="8"/>
        <v>83409133</v>
      </c>
      <c r="C54" s="27">
        <f t="shared" si="8"/>
        <v>788776</v>
      </c>
      <c r="D54" s="27">
        <f t="shared" si="8"/>
        <v>1114141</v>
      </c>
      <c r="E54" s="27">
        <f t="shared" si="8"/>
        <v>9054592474</v>
      </c>
      <c r="F54" s="28">
        <f t="shared" si="9"/>
        <v>0.95</v>
      </c>
      <c r="G54" s="28">
        <f t="shared" si="10"/>
        <v>-4.04</v>
      </c>
      <c r="H54" s="27">
        <f t="shared" si="11"/>
        <v>11479</v>
      </c>
      <c r="I54" s="28">
        <f t="shared" si="12"/>
        <v>6.06</v>
      </c>
      <c r="J54" s="28">
        <f t="shared" si="13"/>
        <v>108.56</v>
      </c>
      <c r="K54" s="28">
        <f t="shared" si="14"/>
        <v>1.39</v>
      </c>
      <c r="L54" s="28">
        <f t="shared" si="15"/>
        <v>1.34</v>
      </c>
      <c r="M54" s="28">
        <f t="shared" si="16"/>
        <v>-5.63</v>
      </c>
    </row>
    <row r="55" spans="1:13" x14ac:dyDescent="0.2">
      <c r="A55" s="29" t="s">
        <v>715</v>
      </c>
      <c r="B55" s="27">
        <f t="shared" si="8"/>
        <v>83602610</v>
      </c>
      <c r="C55" s="27">
        <f t="shared" si="8"/>
        <v>783424</v>
      </c>
      <c r="D55" s="27">
        <f t="shared" si="8"/>
        <v>1087906</v>
      </c>
      <c r="E55" s="27">
        <f t="shared" si="8"/>
        <v>9124658606</v>
      </c>
      <c r="F55" s="28">
        <f t="shared" si="9"/>
        <v>0.94</v>
      </c>
      <c r="G55" s="28">
        <f t="shared" si="10"/>
        <v>-4.08</v>
      </c>
      <c r="H55" s="27">
        <f t="shared" si="11"/>
        <v>11647</v>
      </c>
      <c r="I55" s="28">
        <f t="shared" si="12"/>
        <v>5.96</v>
      </c>
      <c r="J55" s="28">
        <f t="shared" si="13"/>
        <v>109.14</v>
      </c>
      <c r="K55" s="28">
        <f t="shared" si="14"/>
        <v>1.57</v>
      </c>
      <c r="L55" s="28">
        <f t="shared" si="15"/>
        <v>1.3</v>
      </c>
      <c r="M55" s="28">
        <f t="shared" si="16"/>
        <v>-7.8</v>
      </c>
    </row>
    <row r="56" spans="1:13" x14ac:dyDescent="0.2">
      <c r="A56" s="29" t="s">
        <v>716</v>
      </c>
      <c r="B56" s="27">
        <f t="shared" ref="B56:E57" si="17">SUM(B27:B30)</f>
        <v>83762018</v>
      </c>
      <c r="C56" s="27">
        <f t="shared" si="17"/>
        <v>776009</v>
      </c>
      <c r="D56" s="27">
        <f t="shared" si="17"/>
        <v>1066521</v>
      </c>
      <c r="E56" s="27">
        <f t="shared" si="17"/>
        <v>9192540219</v>
      </c>
      <c r="F56" s="28">
        <f t="shared" si="9"/>
        <v>0.93</v>
      </c>
      <c r="G56" s="28">
        <f t="shared" si="10"/>
        <v>-3.12</v>
      </c>
      <c r="H56" s="27">
        <f t="shared" si="11"/>
        <v>11846</v>
      </c>
      <c r="I56" s="28">
        <f t="shared" si="12"/>
        <v>6.07</v>
      </c>
      <c r="J56" s="28">
        <f t="shared" si="13"/>
        <v>109.75</v>
      </c>
      <c r="K56" s="28">
        <f t="shared" si="14"/>
        <v>1.87</v>
      </c>
      <c r="L56" s="28">
        <f t="shared" si="15"/>
        <v>1.27</v>
      </c>
      <c r="M56" s="28">
        <f t="shared" si="16"/>
        <v>-8.6300000000000008</v>
      </c>
    </row>
    <row r="57" spans="1:13" x14ac:dyDescent="0.2">
      <c r="A57" s="29" t="s">
        <v>717</v>
      </c>
      <c r="B57" s="27">
        <f t="shared" si="17"/>
        <v>83828768</v>
      </c>
      <c r="C57" s="27">
        <f t="shared" si="17"/>
        <v>769668</v>
      </c>
      <c r="D57" s="27">
        <f t="shared" si="17"/>
        <v>1054838</v>
      </c>
      <c r="E57" s="27">
        <f t="shared" si="17"/>
        <v>9177487921</v>
      </c>
      <c r="F57" s="28">
        <f t="shared" si="9"/>
        <v>0.92</v>
      </c>
      <c r="G57" s="28">
        <f t="shared" si="10"/>
        <v>-3.16</v>
      </c>
      <c r="H57" s="27">
        <f t="shared" si="11"/>
        <v>11924</v>
      </c>
      <c r="I57" s="28">
        <f t="shared" si="12"/>
        <v>5.2</v>
      </c>
      <c r="J57" s="28">
        <f t="shared" si="13"/>
        <v>109.48</v>
      </c>
      <c r="K57" s="28">
        <f t="shared" si="14"/>
        <v>1.39</v>
      </c>
      <c r="L57" s="28">
        <f t="shared" si="15"/>
        <v>1.26</v>
      </c>
      <c r="M57" s="28">
        <f t="shared" si="16"/>
        <v>-7.35</v>
      </c>
    </row>
    <row r="58" spans="1:13" x14ac:dyDescent="0.2">
      <c r="A58" s="29" t="s">
        <v>718</v>
      </c>
    </row>
    <row r="59" spans="1:13" x14ac:dyDescent="0.2">
      <c r="A59" s="29" t="s">
        <v>719</v>
      </c>
    </row>
    <row r="63" spans="1:13" ht="13.5" x14ac:dyDescent="0.2">
      <c r="A63" s="26"/>
      <c r="B63" s="29"/>
      <c r="C63" s="70" t="s">
        <v>43</v>
      </c>
      <c r="D63" s="70"/>
      <c r="E63" s="70"/>
      <c r="F63" s="70"/>
      <c r="G63" s="70"/>
      <c r="H63" s="70"/>
      <c r="I63" s="70"/>
      <c r="J63" s="70"/>
      <c r="K63" s="70"/>
      <c r="L63" s="17"/>
      <c r="M63" s="17"/>
    </row>
    <row r="64" spans="1:13" x14ac:dyDescent="0.2">
      <c r="A64" s="37" t="s">
        <v>23</v>
      </c>
      <c r="B64" s="29"/>
      <c r="C64" s="70" t="s">
        <v>42</v>
      </c>
      <c r="D64" s="70"/>
      <c r="E64" s="70"/>
      <c r="F64" s="70"/>
      <c r="G64" s="70"/>
      <c r="H64" s="70"/>
      <c r="I64" s="70"/>
      <c r="J64" s="70"/>
      <c r="K64" s="70"/>
      <c r="L64" s="17"/>
      <c r="M64" s="17"/>
    </row>
    <row r="65" spans="1:13" x14ac:dyDescent="0.2">
      <c r="A65" s="34"/>
      <c r="B65" s="51"/>
      <c r="C65" s="15"/>
      <c r="D65" s="15"/>
      <c r="E65" s="15"/>
      <c r="F65" s="16"/>
      <c r="G65" s="16"/>
      <c r="H65" s="15"/>
      <c r="I65" s="16"/>
      <c r="J65" s="16"/>
      <c r="K65" s="16"/>
      <c r="L65" s="16"/>
      <c r="M65" s="16"/>
    </row>
    <row r="66" spans="1:13" x14ac:dyDescent="0.2">
      <c r="A66" s="17"/>
      <c r="C66" s="15" t="s">
        <v>728</v>
      </c>
      <c r="D66" s="15"/>
      <c r="E66" s="15"/>
      <c r="F66" s="16"/>
      <c r="G66" s="15" t="s">
        <v>729</v>
      </c>
      <c r="H66" s="15"/>
      <c r="I66" s="16"/>
      <c r="J66" s="16"/>
      <c r="K66" s="16"/>
      <c r="L66" s="16"/>
      <c r="M66" s="16"/>
    </row>
    <row r="67" spans="1:13" x14ac:dyDescent="0.2">
      <c r="A67" s="17"/>
      <c r="C67" s="15"/>
      <c r="D67" s="15"/>
      <c r="E67" s="15"/>
      <c r="F67" s="16"/>
      <c r="G67" s="16"/>
      <c r="H67" s="15"/>
      <c r="I67" s="16"/>
      <c r="J67" s="16"/>
      <c r="K67" s="16"/>
      <c r="L67" s="16"/>
      <c r="M67" s="16"/>
    </row>
    <row r="68" spans="1:13" x14ac:dyDescent="0.2">
      <c r="A68" s="18"/>
      <c r="B68" s="52"/>
      <c r="C68" s="19"/>
      <c r="D68" s="19"/>
      <c r="E68" s="19"/>
      <c r="F68" s="20"/>
      <c r="G68" s="20" t="s">
        <v>47</v>
      </c>
      <c r="H68" s="19"/>
      <c r="I68" s="20" t="s">
        <v>47</v>
      </c>
      <c r="J68" s="20"/>
      <c r="K68" s="20" t="s">
        <v>47</v>
      </c>
      <c r="L68" s="20"/>
      <c r="M68" s="20" t="s">
        <v>47</v>
      </c>
    </row>
    <row r="69" spans="1:13" x14ac:dyDescent="0.2">
      <c r="A69" s="17"/>
      <c r="B69" s="52"/>
      <c r="C69" s="19" t="s">
        <v>48</v>
      </c>
      <c r="D69" s="19" t="s">
        <v>48</v>
      </c>
      <c r="E69" s="19"/>
      <c r="F69" s="19" t="s">
        <v>7</v>
      </c>
      <c r="G69" s="20" t="s">
        <v>49</v>
      </c>
      <c r="H69" s="19" t="s">
        <v>7</v>
      </c>
      <c r="I69" s="20" t="s">
        <v>49</v>
      </c>
      <c r="J69" s="20"/>
      <c r="K69" s="20" t="s">
        <v>49</v>
      </c>
      <c r="L69" s="20" t="s">
        <v>8</v>
      </c>
      <c r="M69" s="20" t="s">
        <v>49</v>
      </c>
    </row>
    <row r="70" spans="1:13" x14ac:dyDescent="0.2">
      <c r="A70" s="47" t="s">
        <v>20</v>
      </c>
      <c r="B70" s="52" t="s">
        <v>50</v>
      </c>
      <c r="C70" s="19" t="s">
        <v>7</v>
      </c>
      <c r="D70" s="19" t="s">
        <v>51</v>
      </c>
      <c r="E70" s="19" t="s">
        <v>7</v>
      </c>
      <c r="F70" s="20" t="s">
        <v>11</v>
      </c>
      <c r="G70" s="20" t="s">
        <v>52</v>
      </c>
      <c r="H70" s="19" t="s">
        <v>11</v>
      </c>
      <c r="I70" s="20" t="s">
        <v>52</v>
      </c>
      <c r="J70" s="20" t="s">
        <v>10</v>
      </c>
      <c r="K70" s="20" t="s">
        <v>52</v>
      </c>
      <c r="L70" s="20" t="s">
        <v>11</v>
      </c>
      <c r="M70" s="20" t="s">
        <v>52</v>
      </c>
    </row>
    <row r="71" spans="1:13" x14ac:dyDescent="0.2">
      <c r="A71" s="48" t="s">
        <v>19</v>
      </c>
      <c r="B71" s="53" t="s">
        <v>53</v>
      </c>
      <c r="C71" s="49" t="s">
        <v>51</v>
      </c>
      <c r="D71" s="49" t="s">
        <v>8</v>
      </c>
      <c r="E71" s="49" t="s">
        <v>54</v>
      </c>
      <c r="F71" s="50" t="s">
        <v>13</v>
      </c>
      <c r="G71" s="50" t="s">
        <v>6</v>
      </c>
      <c r="H71" s="49" t="s">
        <v>22</v>
      </c>
      <c r="I71" s="50" t="s">
        <v>6</v>
      </c>
      <c r="J71" s="50" t="s">
        <v>55</v>
      </c>
      <c r="K71" s="50" t="s">
        <v>6</v>
      </c>
      <c r="L71" s="50" t="s">
        <v>13</v>
      </c>
      <c r="M71" s="50" t="s">
        <v>6</v>
      </c>
    </row>
    <row r="73" spans="1:13" x14ac:dyDescent="0.2">
      <c r="A73" s="29" t="s">
        <v>722</v>
      </c>
      <c r="B73" s="27">
        <f>VLOOKUP($A11&amp;"PD"&amp;State2,Sheet5!$A$2:$I$295,2,FALSE)</f>
        <v>26708071</v>
      </c>
      <c r="C73" s="27">
        <f>VLOOKUP($A11&amp;"PD"&amp;State2,Sheet5!$A$2:$I$295,3,FALSE)</f>
        <v>1074883</v>
      </c>
      <c r="D73" s="27">
        <f>VLOOKUP($A11&amp;"PD"&amp;State2,Sheet5!$A$2:$I$295,4,FALSE)</f>
        <v>0</v>
      </c>
      <c r="E73" s="27">
        <f>VLOOKUP($A11&amp;"PD"&amp;State2,Sheet5!$A$2:$I$295,5,FALSE)</f>
        <v>2666874503</v>
      </c>
      <c r="F73" s="28">
        <f>IF(B73=0,0,ROUND((C73/B73)*100,2))</f>
        <v>4.0199999999999996</v>
      </c>
      <c r="G73" s="28" t="str">
        <f>IF(ISERR((F69-F73)/F69),"*****",ROUND(-((F69-F73)/F69)*100,2))</f>
        <v>*****</v>
      </c>
      <c r="H73" s="27">
        <f>IF(C73=0,0,ROUND(E73/C73,0))</f>
        <v>2481</v>
      </c>
      <c r="I73" s="28" t="str">
        <f>IF(ISERR((H69-H73)/H69),"******",ROUND(-((H69-H73)/H69)*100,2))</f>
        <v>******</v>
      </c>
      <c r="J73" s="28">
        <f>IF(B73=0,0,ROUND(E73/B73,2))</f>
        <v>99.85</v>
      </c>
      <c r="K73" s="28" t="str">
        <f>IF(ISERR((J69-J73)/J69),"******",ROUND(-((J69-J73)/J69)*100,2))</f>
        <v>******</v>
      </c>
      <c r="L73" s="28">
        <f>IF(B73=0,0,ROUND((D73/B73)*100,2))</f>
        <v>0</v>
      </c>
      <c r="M73" s="28" t="str">
        <f>IF(ISERR((L69-L73)/L69),"******",ROUND(-((L69-L73)/L69)*100,2))</f>
        <v>******</v>
      </c>
    </row>
    <row r="74" spans="1:13" x14ac:dyDescent="0.2">
      <c r="A74" s="29" t="s">
        <v>723</v>
      </c>
      <c r="B74" s="27">
        <f>VLOOKUP($A12&amp;"PD"&amp;State2,Sheet5!$A$2:$I$295,2,FALSE)</f>
        <v>27246180</v>
      </c>
      <c r="C74" s="27">
        <f>VLOOKUP($A12&amp;"PD"&amp;State2,Sheet5!$A$2:$I$295,3,FALSE)</f>
        <v>1004991</v>
      </c>
      <c r="D74" s="27">
        <f>VLOOKUP($A12&amp;"PD"&amp;State2,Sheet5!$A$2:$I$295,4,FALSE)</f>
        <v>0</v>
      </c>
      <c r="E74" s="27">
        <f>VLOOKUP($A12&amp;"PD"&amp;State2,Sheet5!$A$2:$I$295,5,FALSE)</f>
        <v>2480238055</v>
      </c>
      <c r="F74" s="28">
        <f t="shared" ref="F74:F93" si="18">IF(B74=0,0,ROUND((C74/B74)*100,2))</f>
        <v>3.69</v>
      </c>
      <c r="G74" s="28" t="str">
        <f t="shared" ref="G74:G93" si="19">IF(ISERR((F70-F74)/F70),"*****",ROUND(-((F70-F74)/F70)*100,2))</f>
        <v>*****</v>
      </c>
      <c r="H74" s="27">
        <f t="shared" ref="H74:H93" si="20">IF(C74=0,0,ROUND(E74/C74,0))</f>
        <v>2468</v>
      </c>
      <c r="I74" s="28" t="str">
        <f t="shared" ref="I74:I93" si="21">IF(ISERR((H70-H74)/H70),"******",ROUND(-((H70-H74)/H70)*100,2))</f>
        <v>******</v>
      </c>
      <c r="J74" s="28">
        <f t="shared" ref="J74:J93" si="22">IF(B74=0,0,ROUND(E74/B74,2))</f>
        <v>91.03</v>
      </c>
      <c r="K74" s="28" t="str">
        <f t="shared" ref="K74:K93" si="23">IF(ISERR((J70-J74)/J70),"******",ROUND(-((J70-J74)/J70)*100,2))</f>
        <v>******</v>
      </c>
      <c r="L74" s="28">
        <f t="shared" ref="L74:L93" si="24">IF(B74=0,0,ROUND((D74/B74)*100,2))</f>
        <v>0</v>
      </c>
      <c r="M74" s="28" t="str">
        <f t="shared" ref="M74:M93" si="25">IF(ISERR((L70-L74)/L70),"******",ROUND(-((L70-L74)/L70)*100,2))</f>
        <v>******</v>
      </c>
    </row>
    <row r="75" spans="1:13" x14ac:dyDescent="0.2">
      <c r="A75" s="29" t="s">
        <v>724</v>
      </c>
      <c r="B75" s="27">
        <f>VLOOKUP($A13&amp;"PD"&amp;State2,Sheet5!$A$2:$I$295,2,FALSE)</f>
        <v>27443885</v>
      </c>
      <c r="C75" s="27">
        <f>VLOOKUP($A13&amp;"PD"&amp;State2,Sheet5!$A$2:$I$295,3,FALSE)</f>
        <v>1002434</v>
      </c>
      <c r="D75" s="27">
        <f>VLOOKUP($A13&amp;"PD"&amp;State2,Sheet5!$A$2:$I$295,4,FALSE)</f>
        <v>0</v>
      </c>
      <c r="E75" s="27">
        <f>VLOOKUP($A13&amp;"PD"&amp;State2,Sheet5!$A$2:$I$295,5,FALSE)</f>
        <v>2507703958</v>
      </c>
      <c r="F75" s="28">
        <f t="shared" si="18"/>
        <v>3.65</v>
      </c>
      <c r="G75" s="28" t="str">
        <f t="shared" si="19"/>
        <v>*****</v>
      </c>
      <c r="H75" s="27">
        <f t="shared" si="20"/>
        <v>2502</v>
      </c>
      <c r="I75" s="28" t="str">
        <f t="shared" si="21"/>
        <v>******</v>
      </c>
      <c r="J75" s="28">
        <f t="shared" si="22"/>
        <v>91.38</v>
      </c>
      <c r="K75" s="28" t="str">
        <f t="shared" si="23"/>
        <v>******</v>
      </c>
      <c r="L75" s="28">
        <f t="shared" si="24"/>
        <v>0</v>
      </c>
      <c r="M75" s="28" t="str">
        <f t="shared" si="25"/>
        <v>******</v>
      </c>
    </row>
    <row r="76" spans="1:13" x14ac:dyDescent="0.2">
      <c r="A76" s="29" t="s">
        <v>700</v>
      </c>
      <c r="B76" s="27">
        <f>VLOOKUP($A14&amp;"PD"&amp;State2,Sheet5!$A$2:$I$295,2,FALSE)</f>
        <v>27457077</v>
      </c>
      <c r="C76" s="27">
        <f>VLOOKUP($A14&amp;"PD"&amp;State2,Sheet5!$A$2:$I$295,3,FALSE)</f>
        <v>1004390</v>
      </c>
      <c r="D76" s="27">
        <f>VLOOKUP($A14&amp;"PD"&amp;State2,Sheet5!$A$2:$I$295,4,FALSE)</f>
        <v>0</v>
      </c>
      <c r="E76" s="27">
        <f>VLOOKUP($A14&amp;"PD"&amp;State2,Sheet5!$A$2:$I$295,5,FALSE)</f>
        <v>2548028902</v>
      </c>
      <c r="F76" s="28">
        <f t="shared" si="18"/>
        <v>3.66</v>
      </c>
      <c r="G76" s="28" t="str">
        <f t="shared" si="19"/>
        <v>*****</v>
      </c>
      <c r="H76" s="27">
        <f t="shared" si="20"/>
        <v>2537</v>
      </c>
      <c r="I76" s="28" t="str">
        <f t="shared" si="21"/>
        <v>******</v>
      </c>
      <c r="J76" s="28">
        <f t="shared" si="22"/>
        <v>92.8</v>
      </c>
      <c r="K76" s="28" t="str">
        <f t="shared" si="23"/>
        <v>******</v>
      </c>
      <c r="L76" s="28">
        <f t="shared" si="24"/>
        <v>0</v>
      </c>
      <c r="M76" s="28" t="str">
        <f t="shared" si="25"/>
        <v>******</v>
      </c>
    </row>
    <row r="77" spans="1:13" x14ac:dyDescent="0.2">
      <c r="A77" s="29" t="s">
        <v>701</v>
      </c>
      <c r="B77" s="27">
        <f>VLOOKUP($A15&amp;"PD"&amp;State2,Sheet5!$A$2:$I$295,2,FALSE)</f>
        <v>27462039</v>
      </c>
      <c r="C77" s="27">
        <f>VLOOKUP($A15&amp;"PD"&amp;State2,Sheet5!$A$2:$I$295,3,FALSE)</f>
        <v>1073391</v>
      </c>
      <c r="D77" s="27">
        <f>VLOOKUP($A15&amp;"PD"&amp;State2,Sheet5!$A$2:$I$295,4,FALSE)</f>
        <v>0</v>
      </c>
      <c r="E77" s="27">
        <f>VLOOKUP($A15&amp;"PD"&amp;State2,Sheet5!$A$2:$I$295,5,FALSE)</f>
        <v>2719705203</v>
      </c>
      <c r="F77" s="28">
        <f t="shared" si="18"/>
        <v>3.91</v>
      </c>
      <c r="G77" s="28">
        <f t="shared" si="19"/>
        <v>-2.74</v>
      </c>
      <c r="H77" s="27">
        <f t="shared" si="20"/>
        <v>2534</v>
      </c>
      <c r="I77" s="28">
        <f t="shared" si="21"/>
        <v>2.14</v>
      </c>
      <c r="J77" s="28">
        <f t="shared" si="22"/>
        <v>99.04</v>
      </c>
      <c r="K77" s="28">
        <f t="shared" si="23"/>
        <v>-0.81</v>
      </c>
      <c r="L77" s="28">
        <f t="shared" si="24"/>
        <v>0</v>
      </c>
      <c r="M77" s="28" t="str">
        <f t="shared" si="25"/>
        <v>******</v>
      </c>
    </row>
    <row r="78" spans="1:13" x14ac:dyDescent="0.2">
      <c r="A78" s="29" t="s">
        <v>702</v>
      </c>
      <c r="B78" s="27">
        <f>VLOOKUP($A16&amp;"PD"&amp;State2,Sheet5!$A$2:$I$295,2,FALSE)</f>
        <v>27836428</v>
      </c>
      <c r="C78" s="27">
        <f>VLOOKUP($A16&amp;"PD"&amp;State2,Sheet5!$A$2:$I$295,3,FALSE)</f>
        <v>1030031</v>
      </c>
      <c r="D78" s="27">
        <f>VLOOKUP($A16&amp;"PD"&amp;State2,Sheet5!$A$2:$I$295,4,FALSE)</f>
        <v>0</v>
      </c>
      <c r="E78" s="27">
        <f>VLOOKUP($A16&amp;"PD"&amp;State2,Sheet5!$A$2:$I$295,5,FALSE)</f>
        <v>2612421623</v>
      </c>
      <c r="F78" s="28">
        <f t="shared" si="18"/>
        <v>3.7</v>
      </c>
      <c r="G78" s="28">
        <f t="shared" si="19"/>
        <v>0.27</v>
      </c>
      <c r="H78" s="27">
        <f t="shared" si="20"/>
        <v>2536</v>
      </c>
      <c r="I78" s="28">
        <f t="shared" si="21"/>
        <v>2.76</v>
      </c>
      <c r="J78" s="28">
        <f t="shared" si="22"/>
        <v>93.85</v>
      </c>
      <c r="K78" s="28">
        <f t="shared" si="23"/>
        <v>3.1</v>
      </c>
      <c r="L78" s="28">
        <f t="shared" si="24"/>
        <v>0</v>
      </c>
      <c r="M78" s="28" t="str">
        <f t="shared" si="25"/>
        <v>******</v>
      </c>
    </row>
    <row r="79" spans="1:13" x14ac:dyDescent="0.2">
      <c r="A79" s="29" t="s">
        <v>703</v>
      </c>
      <c r="B79" s="27">
        <f>VLOOKUP($A17&amp;"PD"&amp;State2,Sheet5!$A$2:$I$295,2,FALSE)</f>
        <v>28058617</v>
      </c>
      <c r="C79" s="27">
        <f>VLOOKUP($A17&amp;"PD"&amp;State2,Sheet5!$A$2:$I$295,3,FALSE)</f>
        <v>1026407</v>
      </c>
      <c r="D79" s="27">
        <f>VLOOKUP($A17&amp;"PD"&amp;State2,Sheet5!$A$2:$I$295,4,FALSE)</f>
        <v>0</v>
      </c>
      <c r="E79" s="27">
        <f>VLOOKUP($A17&amp;"PD"&amp;State2,Sheet5!$A$2:$I$295,5,FALSE)</f>
        <v>2639717019</v>
      </c>
      <c r="F79" s="28">
        <f t="shared" si="18"/>
        <v>3.66</v>
      </c>
      <c r="G79" s="28">
        <f t="shared" si="19"/>
        <v>0.27</v>
      </c>
      <c r="H79" s="27">
        <f t="shared" si="20"/>
        <v>2572</v>
      </c>
      <c r="I79" s="28">
        <f t="shared" si="21"/>
        <v>2.8</v>
      </c>
      <c r="J79" s="28">
        <f t="shared" si="22"/>
        <v>94.08</v>
      </c>
      <c r="K79" s="28">
        <f t="shared" si="23"/>
        <v>2.95</v>
      </c>
      <c r="L79" s="28">
        <f t="shared" si="24"/>
        <v>0</v>
      </c>
      <c r="M79" s="28" t="str">
        <f t="shared" si="25"/>
        <v>******</v>
      </c>
    </row>
    <row r="80" spans="1:13" x14ac:dyDescent="0.2">
      <c r="A80" s="29" t="s">
        <v>704</v>
      </c>
      <c r="B80" s="27">
        <f>VLOOKUP($A18&amp;"PD"&amp;State2,Sheet5!$A$2:$I$295,2,FALSE)</f>
        <v>28056932</v>
      </c>
      <c r="C80" s="27">
        <f>VLOOKUP($A18&amp;"PD"&amp;State2,Sheet5!$A$2:$I$295,3,FALSE)</f>
        <v>986873</v>
      </c>
      <c r="D80" s="27">
        <f>VLOOKUP($A18&amp;"PD"&amp;State2,Sheet5!$A$2:$I$295,4,FALSE)</f>
        <v>0</v>
      </c>
      <c r="E80" s="27">
        <f>VLOOKUP($A18&amp;"PD"&amp;State2,Sheet5!$A$2:$I$295,5,FALSE)</f>
        <v>2597418201</v>
      </c>
      <c r="F80" s="28">
        <f t="shared" si="18"/>
        <v>3.52</v>
      </c>
      <c r="G80" s="28">
        <f t="shared" si="19"/>
        <v>-3.83</v>
      </c>
      <c r="H80" s="27">
        <f t="shared" si="20"/>
        <v>2632</v>
      </c>
      <c r="I80" s="28">
        <f t="shared" si="21"/>
        <v>3.74</v>
      </c>
      <c r="J80" s="28">
        <f t="shared" si="22"/>
        <v>92.58</v>
      </c>
      <c r="K80" s="28">
        <f t="shared" si="23"/>
        <v>-0.24</v>
      </c>
      <c r="L80" s="28">
        <f t="shared" si="24"/>
        <v>0</v>
      </c>
      <c r="M80" s="28" t="str">
        <f t="shared" si="25"/>
        <v>******</v>
      </c>
    </row>
    <row r="81" spans="1:13" x14ac:dyDescent="0.2">
      <c r="A81" s="29" t="s">
        <v>705</v>
      </c>
      <c r="B81" s="27">
        <f>VLOOKUP($A19&amp;"PD"&amp;State2,Sheet5!$A$2:$I$295,2,FALSE)</f>
        <v>28039694</v>
      </c>
      <c r="C81" s="27">
        <f>VLOOKUP($A19&amp;"PD"&amp;State2,Sheet5!$A$2:$I$295,3,FALSE)</f>
        <v>1056890</v>
      </c>
      <c r="D81" s="27">
        <f>VLOOKUP($A19&amp;"PD"&amp;State2,Sheet5!$A$2:$I$295,4,FALSE)</f>
        <v>0</v>
      </c>
      <c r="E81" s="27">
        <f>VLOOKUP($A19&amp;"PD"&amp;State2,Sheet5!$A$2:$I$295,5,FALSE)</f>
        <v>2794668092</v>
      </c>
      <c r="F81" s="28">
        <f t="shared" si="18"/>
        <v>3.77</v>
      </c>
      <c r="G81" s="28">
        <f t="shared" si="19"/>
        <v>-3.58</v>
      </c>
      <c r="H81" s="27">
        <f t="shared" si="20"/>
        <v>2644</v>
      </c>
      <c r="I81" s="28">
        <f t="shared" si="21"/>
        <v>4.34</v>
      </c>
      <c r="J81" s="28">
        <f t="shared" si="22"/>
        <v>99.67</v>
      </c>
      <c r="K81" s="28">
        <f t="shared" si="23"/>
        <v>0.64</v>
      </c>
      <c r="L81" s="28">
        <f t="shared" si="24"/>
        <v>0</v>
      </c>
      <c r="M81" s="28" t="str">
        <f t="shared" si="25"/>
        <v>******</v>
      </c>
    </row>
    <row r="82" spans="1:13" x14ac:dyDescent="0.2">
      <c r="A82" s="29" t="s">
        <v>706</v>
      </c>
      <c r="B82" s="27">
        <f>VLOOKUP($A20&amp;"PD"&amp;State2,Sheet5!$A$2:$I$295,2,FALSE)</f>
        <v>28419330</v>
      </c>
      <c r="C82" s="27">
        <f>VLOOKUP($A20&amp;"PD"&amp;State2,Sheet5!$A$2:$I$295,3,FALSE)</f>
        <v>996229</v>
      </c>
      <c r="D82" s="27">
        <f>VLOOKUP($A20&amp;"PD"&amp;State2,Sheet5!$A$2:$I$295,4,FALSE)</f>
        <v>0</v>
      </c>
      <c r="E82" s="27">
        <f>VLOOKUP($A20&amp;"PD"&amp;State2,Sheet5!$A$2:$I$295,5,FALSE)</f>
        <v>2627747676</v>
      </c>
      <c r="F82" s="28">
        <f t="shared" si="18"/>
        <v>3.51</v>
      </c>
      <c r="G82" s="28">
        <f t="shared" si="19"/>
        <v>-5.14</v>
      </c>
      <c r="H82" s="27">
        <f t="shared" si="20"/>
        <v>2638</v>
      </c>
      <c r="I82" s="28">
        <f t="shared" si="21"/>
        <v>4.0199999999999996</v>
      </c>
      <c r="J82" s="28">
        <f t="shared" si="22"/>
        <v>92.46</v>
      </c>
      <c r="K82" s="28">
        <f t="shared" si="23"/>
        <v>-1.48</v>
      </c>
      <c r="L82" s="28">
        <f t="shared" si="24"/>
        <v>0</v>
      </c>
      <c r="M82" s="28" t="str">
        <f t="shared" si="25"/>
        <v>******</v>
      </c>
    </row>
    <row r="83" spans="1:13" x14ac:dyDescent="0.2">
      <c r="A83" s="29" t="s">
        <v>707</v>
      </c>
      <c r="B83" s="27">
        <f>VLOOKUP($A21&amp;"PD"&amp;State2,Sheet5!$A$2:$I$295,2,FALSE)</f>
        <v>28557599</v>
      </c>
      <c r="C83" s="27">
        <f>VLOOKUP($A21&amp;"PD"&amp;State2,Sheet5!$A$2:$I$295,3,FALSE)</f>
        <v>985748</v>
      </c>
      <c r="D83" s="27">
        <f>VLOOKUP($A21&amp;"PD"&amp;State2,Sheet5!$A$2:$I$295,4,FALSE)</f>
        <v>0</v>
      </c>
      <c r="E83" s="27">
        <f>VLOOKUP($A21&amp;"PD"&amp;State2,Sheet5!$A$2:$I$295,5,FALSE)</f>
        <v>2622843867</v>
      </c>
      <c r="F83" s="28">
        <f t="shared" si="18"/>
        <v>3.45</v>
      </c>
      <c r="G83" s="28">
        <f t="shared" si="19"/>
        <v>-5.74</v>
      </c>
      <c r="H83" s="27">
        <f t="shared" si="20"/>
        <v>2661</v>
      </c>
      <c r="I83" s="28">
        <f t="shared" si="21"/>
        <v>3.46</v>
      </c>
      <c r="J83" s="28">
        <f t="shared" si="22"/>
        <v>91.84</v>
      </c>
      <c r="K83" s="28">
        <f t="shared" si="23"/>
        <v>-2.38</v>
      </c>
      <c r="L83" s="28">
        <f t="shared" si="24"/>
        <v>0</v>
      </c>
      <c r="M83" s="28" t="str">
        <f t="shared" si="25"/>
        <v>******</v>
      </c>
    </row>
    <row r="84" spans="1:13" x14ac:dyDescent="0.2">
      <c r="A84" s="29" t="s">
        <v>708</v>
      </c>
      <c r="B84" s="27">
        <f>VLOOKUP($A22&amp;"PD"&amp;State2,Sheet5!$A$2:$I$295,2,FALSE)</f>
        <v>28481915</v>
      </c>
      <c r="C84" s="27">
        <f>VLOOKUP($A22&amp;"PD"&amp;State2,Sheet5!$A$2:$I$295,3,FALSE)</f>
        <v>1008531</v>
      </c>
      <c r="D84" s="27">
        <f>VLOOKUP($A22&amp;"PD"&amp;State2,Sheet5!$A$2:$I$295,4,FALSE)</f>
        <v>0</v>
      </c>
      <c r="E84" s="27">
        <f>VLOOKUP($A22&amp;"PD"&amp;State2,Sheet5!$A$2:$I$295,5,FALSE)</f>
        <v>2726187612</v>
      </c>
      <c r="F84" s="28">
        <f t="shared" si="18"/>
        <v>3.54</v>
      </c>
      <c r="G84" s="28">
        <f t="shared" si="19"/>
        <v>0.56999999999999995</v>
      </c>
      <c r="H84" s="27">
        <f t="shared" si="20"/>
        <v>2703</v>
      </c>
      <c r="I84" s="28">
        <f t="shared" si="21"/>
        <v>2.7</v>
      </c>
      <c r="J84" s="28">
        <f t="shared" si="22"/>
        <v>95.72</v>
      </c>
      <c r="K84" s="28">
        <f t="shared" si="23"/>
        <v>3.39</v>
      </c>
      <c r="L84" s="28">
        <f t="shared" si="24"/>
        <v>0</v>
      </c>
      <c r="M84" s="28" t="str">
        <f t="shared" si="25"/>
        <v>******</v>
      </c>
    </row>
    <row r="85" spans="1:13" x14ac:dyDescent="0.2">
      <c r="A85" s="29" t="s">
        <v>709</v>
      </c>
      <c r="B85" s="27">
        <f>VLOOKUP($A23&amp;"PD"&amp;State2,Sheet5!$A$2:$I$295,2,FALSE)</f>
        <v>28451175</v>
      </c>
      <c r="C85" s="27">
        <f>VLOOKUP($A23&amp;"PD"&amp;State2,Sheet5!$A$2:$I$295,3,FALSE)</f>
        <v>1060951</v>
      </c>
      <c r="D85" s="27">
        <f>VLOOKUP($A23&amp;"PD"&amp;State2,Sheet5!$A$2:$I$295,4,FALSE)</f>
        <v>0</v>
      </c>
      <c r="E85" s="27">
        <f>VLOOKUP($A23&amp;"PD"&amp;State2,Sheet5!$A$2:$I$295,5,FALSE)</f>
        <v>2881809921</v>
      </c>
      <c r="F85" s="28">
        <f t="shared" si="18"/>
        <v>3.73</v>
      </c>
      <c r="G85" s="28">
        <f t="shared" si="19"/>
        <v>-1.06</v>
      </c>
      <c r="H85" s="27">
        <f t="shared" si="20"/>
        <v>2716</v>
      </c>
      <c r="I85" s="28">
        <f t="shared" si="21"/>
        <v>2.72</v>
      </c>
      <c r="J85" s="28">
        <f t="shared" si="22"/>
        <v>101.29</v>
      </c>
      <c r="K85" s="28">
        <f t="shared" si="23"/>
        <v>1.63</v>
      </c>
      <c r="L85" s="28">
        <f t="shared" si="24"/>
        <v>0</v>
      </c>
      <c r="M85" s="28" t="str">
        <f t="shared" si="25"/>
        <v>******</v>
      </c>
    </row>
    <row r="86" spans="1:13" x14ac:dyDescent="0.2">
      <c r="A86" s="29" t="s">
        <v>710</v>
      </c>
      <c r="B86" s="27">
        <f>VLOOKUP($A24&amp;"PD"&amp;State2,Sheet5!$A$2:$I$295,2,FALSE)</f>
        <v>28780716</v>
      </c>
      <c r="C86" s="27">
        <f>VLOOKUP($A24&amp;"PD"&amp;State2,Sheet5!$A$2:$I$295,3,FALSE)</f>
        <v>1027269</v>
      </c>
      <c r="D86" s="27">
        <f>VLOOKUP($A24&amp;"PD"&amp;State2,Sheet5!$A$2:$I$295,4,FALSE)</f>
        <v>0</v>
      </c>
      <c r="E86" s="27">
        <f>VLOOKUP($A24&amp;"PD"&amp;State2,Sheet5!$A$2:$I$295,5,FALSE)</f>
        <v>2765131453</v>
      </c>
      <c r="F86" s="28">
        <f t="shared" si="18"/>
        <v>3.57</v>
      </c>
      <c r="G86" s="28">
        <f t="shared" si="19"/>
        <v>1.71</v>
      </c>
      <c r="H86" s="27">
        <f t="shared" si="20"/>
        <v>2692</v>
      </c>
      <c r="I86" s="28">
        <f t="shared" si="21"/>
        <v>2.0499999999999998</v>
      </c>
      <c r="J86" s="28">
        <f t="shared" si="22"/>
        <v>96.08</v>
      </c>
      <c r="K86" s="28">
        <f t="shared" si="23"/>
        <v>3.92</v>
      </c>
      <c r="L86" s="28">
        <f t="shared" si="24"/>
        <v>0</v>
      </c>
      <c r="M86" s="28" t="str">
        <f t="shared" si="25"/>
        <v>******</v>
      </c>
    </row>
    <row r="87" spans="1:13" x14ac:dyDescent="0.2">
      <c r="A87" s="29" t="s">
        <v>711</v>
      </c>
      <c r="B87" s="27">
        <f>VLOOKUP($A25&amp;"PD"&amp;State2,Sheet5!$A$2:$I$295,2,FALSE)</f>
        <v>28877225</v>
      </c>
      <c r="C87" s="27">
        <f>VLOOKUP($A25&amp;"PD"&amp;State2,Sheet5!$A$2:$I$295,3,FALSE)</f>
        <v>1006279</v>
      </c>
      <c r="D87" s="27">
        <f>VLOOKUP($A25&amp;"PD"&amp;State2,Sheet5!$A$2:$I$295,4,FALSE)</f>
        <v>0</v>
      </c>
      <c r="E87" s="27">
        <f>VLOOKUP($A25&amp;"PD"&amp;State2,Sheet5!$A$2:$I$295,5,FALSE)</f>
        <v>2743147502</v>
      </c>
      <c r="F87" s="28">
        <f t="shared" si="18"/>
        <v>3.48</v>
      </c>
      <c r="G87" s="28">
        <f t="shared" si="19"/>
        <v>0.87</v>
      </c>
      <c r="H87" s="27">
        <f t="shared" si="20"/>
        <v>2726</v>
      </c>
      <c r="I87" s="28">
        <f t="shared" si="21"/>
        <v>2.44</v>
      </c>
      <c r="J87" s="28">
        <f t="shared" si="22"/>
        <v>94.99</v>
      </c>
      <c r="K87" s="28">
        <f t="shared" si="23"/>
        <v>3.43</v>
      </c>
      <c r="L87" s="28">
        <f t="shared" si="24"/>
        <v>0</v>
      </c>
      <c r="M87" s="28" t="str">
        <f t="shared" si="25"/>
        <v>******</v>
      </c>
    </row>
    <row r="88" spans="1:13" x14ac:dyDescent="0.2">
      <c r="A88" s="29" t="s">
        <v>712</v>
      </c>
      <c r="B88" s="27">
        <f>VLOOKUP($A26&amp;"PD"&amp;State2,Sheet5!$A$2:$I$295,2,FALSE)</f>
        <v>28751030</v>
      </c>
      <c r="C88" s="27">
        <f>VLOOKUP($A26&amp;"PD"&amp;State2,Sheet5!$A$2:$I$295,3,FALSE)</f>
        <v>1031094</v>
      </c>
      <c r="D88" s="27">
        <f>VLOOKUP($A26&amp;"PD"&amp;State2,Sheet5!$A$2:$I$295,4,FALSE)</f>
        <v>0</v>
      </c>
      <c r="E88" s="27">
        <f>VLOOKUP($A26&amp;"PD"&amp;State2,Sheet5!$A$2:$I$295,5,FALSE)</f>
        <v>2824720233</v>
      </c>
      <c r="F88" s="28">
        <f t="shared" si="18"/>
        <v>3.59</v>
      </c>
      <c r="G88" s="28">
        <f t="shared" si="19"/>
        <v>1.41</v>
      </c>
      <c r="H88" s="27">
        <f t="shared" si="20"/>
        <v>2740</v>
      </c>
      <c r="I88" s="28">
        <f t="shared" si="21"/>
        <v>1.37</v>
      </c>
      <c r="J88" s="28">
        <f t="shared" si="22"/>
        <v>98.25</v>
      </c>
      <c r="K88" s="28">
        <f t="shared" si="23"/>
        <v>2.64</v>
      </c>
      <c r="L88" s="28">
        <f t="shared" si="24"/>
        <v>0</v>
      </c>
      <c r="M88" s="28" t="str">
        <f t="shared" si="25"/>
        <v>******</v>
      </c>
    </row>
    <row r="89" spans="1:13" x14ac:dyDescent="0.2">
      <c r="A89" s="29" t="s">
        <v>713</v>
      </c>
      <c r="B89" s="27">
        <f>VLOOKUP($A27&amp;"PD"&amp;State2,Sheet5!$A$2:$I$295,2,FALSE)</f>
        <v>28790414</v>
      </c>
      <c r="C89" s="27">
        <f>VLOOKUP($A27&amp;"PD"&amp;State2,Sheet5!$A$2:$I$295,3,FALSE)</f>
        <v>1066954</v>
      </c>
      <c r="D89" s="27">
        <f>VLOOKUP($A27&amp;"PD"&amp;State2,Sheet5!$A$2:$I$295,4,FALSE)</f>
        <v>0</v>
      </c>
      <c r="E89" s="27">
        <f>VLOOKUP($A27&amp;"PD"&amp;State2,Sheet5!$A$2:$I$295,5,FALSE)</f>
        <v>2964152673</v>
      </c>
      <c r="F89" s="28">
        <f t="shared" si="18"/>
        <v>3.71</v>
      </c>
      <c r="G89" s="28">
        <f t="shared" si="19"/>
        <v>-0.54</v>
      </c>
      <c r="H89" s="27">
        <f t="shared" si="20"/>
        <v>2778</v>
      </c>
      <c r="I89" s="28">
        <f t="shared" si="21"/>
        <v>2.2799999999999998</v>
      </c>
      <c r="J89" s="28">
        <f t="shared" si="22"/>
        <v>102.96</v>
      </c>
      <c r="K89" s="28">
        <f t="shared" si="23"/>
        <v>1.65</v>
      </c>
      <c r="L89" s="28">
        <f t="shared" si="24"/>
        <v>0</v>
      </c>
      <c r="M89" s="28" t="str">
        <f t="shared" si="25"/>
        <v>******</v>
      </c>
    </row>
    <row r="90" spans="1:13" x14ac:dyDescent="0.2">
      <c r="A90" s="29" t="s">
        <v>714</v>
      </c>
      <c r="B90" s="27">
        <f>VLOOKUP($A28&amp;"PD"&amp;State2,Sheet5!$A$2:$I$295,2,FALSE)</f>
        <v>29081715</v>
      </c>
      <c r="C90" s="27">
        <f>VLOOKUP($A28&amp;"PD"&amp;State2,Sheet5!$A$2:$I$295,3,FALSE)</f>
        <v>1012299</v>
      </c>
      <c r="D90" s="27">
        <f>VLOOKUP($A28&amp;"PD"&amp;State2,Sheet5!$A$2:$I$295,4,FALSE)</f>
        <v>0</v>
      </c>
      <c r="E90" s="27">
        <f>VLOOKUP($A28&amp;"PD"&amp;State2,Sheet5!$A$2:$I$295,5,FALSE)</f>
        <v>2781195429</v>
      </c>
      <c r="F90" s="28">
        <f t="shared" si="18"/>
        <v>3.48</v>
      </c>
      <c r="G90" s="28">
        <f t="shared" si="19"/>
        <v>-2.52</v>
      </c>
      <c r="H90" s="27">
        <f t="shared" si="20"/>
        <v>2747</v>
      </c>
      <c r="I90" s="28">
        <f t="shared" si="21"/>
        <v>2.04</v>
      </c>
      <c r="J90" s="28">
        <f t="shared" si="22"/>
        <v>95.63</v>
      </c>
      <c r="K90" s="28">
        <f t="shared" si="23"/>
        <v>-0.47</v>
      </c>
      <c r="L90" s="28">
        <f t="shared" si="24"/>
        <v>0</v>
      </c>
      <c r="M90" s="28" t="str">
        <f t="shared" si="25"/>
        <v>******</v>
      </c>
    </row>
    <row r="91" spans="1:13" x14ac:dyDescent="0.2">
      <c r="A91" s="29" t="s">
        <v>715</v>
      </c>
      <c r="B91" s="27">
        <f>VLOOKUP($A29&amp;"PD"&amp;State2,Sheet5!$A$2:$I$295,2,FALSE)</f>
        <v>29179545</v>
      </c>
      <c r="C91" s="27">
        <f>VLOOKUP($A29&amp;"PD"&amp;State2,Sheet5!$A$2:$I$295,3,FALSE)</f>
        <v>979033</v>
      </c>
      <c r="D91" s="27">
        <f>VLOOKUP($A29&amp;"PD"&amp;State2,Sheet5!$A$2:$I$295,4,FALSE)</f>
        <v>0</v>
      </c>
      <c r="E91" s="27">
        <f>VLOOKUP($A29&amp;"PD"&amp;State2,Sheet5!$A$2:$I$295,5,FALSE)</f>
        <v>2707582894</v>
      </c>
      <c r="F91" s="28">
        <f t="shared" si="18"/>
        <v>3.36</v>
      </c>
      <c r="G91" s="28">
        <f t="shared" si="19"/>
        <v>-3.45</v>
      </c>
      <c r="H91" s="27">
        <f t="shared" si="20"/>
        <v>2766</v>
      </c>
      <c r="I91" s="28">
        <f t="shared" si="21"/>
        <v>1.47</v>
      </c>
      <c r="J91" s="28">
        <f t="shared" si="22"/>
        <v>92.79</v>
      </c>
      <c r="K91" s="28">
        <f t="shared" si="23"/>
        <v>-2.3199999999999998</v>
      </c>
      <c r="L91" s="28">
        <f t="shared" si="24"/>
        <v>0</v>
      </c>
      <c r="M91" s="28" t="str">
        <f t="shared" si="25"/>
        <v>******</v>
      </c>
    </row>
    <row r="92" spans="1:13" x14ac:dyDescent="0.2">
      <c r="A92" s="29" t="s">
        <v>716</v>
      </c>
      <c r="B92" s="27">
        <f>VLOOKUP($A30&amp;"PD"&amp;State2,Sheet5!$A$2:$I$295,2,FALSE)</f>
        <v>29032156</v>
      </c>
      <c r="C92" s="27">
        <f>VLOOKUP($A30&amp;"PD"&amp;State2,Sheet5!$A$2:$I$295,3,FALSE)</f>
        <v>968912</v>
      </c>
      <c r="D92" s="27">
        <f>VLOOKUP($A30&amp;"PD"&amp;State2,Sheet5!$A$2:$I$295,4,FALSE)</f>
        <v>0</v>
      </c>
      <c r="E92" s="27">
        <f>VLOOKUP($A30&amp;"PD"&amp;State2,Sheet5!$A$2:$I$295,5,FALSE)</f>
        <v>2717652466</v>
      </c>
      <c r="F92" s="28">
        <f t="shared" si="18"/>
        <v>3.34</v>
      </c>
      <c r="G92" s="28">
        <f t="shared" si="19"/>
        <v>-6.96</v>
      </c>
      <c r="H92" s="27">
        <f t="shared" si="20"/>
        <v>2805</v>
      </c>
      <c r="I92" s="28">
        <f t="shared" si="21"/>
        <v>2.37</v>
      </c>
      <c r="J92" s="28">
        <f t="shared" si="22"/>
        <v>93.61</v>
      </c>
      <c r="K92" s="28">
        <f t="shared" si="23"/>
        <v>-4.72</v>
      </c>
      <c r="L92" s="28">
        <f t="shared" si="24"/>
        <v>0</v>
      </c>
      <c r="M92" s="28" t="str">
        <f t="shared" si="25"/>
        <v>******</v>
      </c>
    </row>
    <row r="93" spans="1:13" x14ac:dyDescent="0.2">
      <c r="A93" s="29" t="s">
        <v>717</v>
      </c>
      <c r="B93" s="27">
        <f>VLOOKUP($A31&amp;"PD"&amp;State2,Sheet5!$A$2:$I$295,2,FALSE)</f>
        <v>28903005</v>
      </c>
      <c r="C93" s="27">
        <f>VLOOKUP($A31&amp;"PD"&amp;State2,Sheet5!$A$2:$I$295,3,FALSE)</f>
        <v>1053824</v>
      </c>
      <c r="D93" s="27">
        <f>VLOOKUP($A31&amp;"PD"&amp;State2,Sheet5!$A$2:$I$295,4,FALSE)</f>
        <v>0</v>
      </c>
      <c r="E93" s="27">
        <f>VLOOKUP($A31&amp;"PD"&amp;State2,Sheet5!$A$2:$I$295,5,FALSE)</f>
        <v>2931421599</v>
      </c>
      <c r="F93" s="28">
        <f t="shared" si="18"/>
        <v>3.65</v>
      </c>
      <c r="G93" s="28">
        <f t="shared" si="19"/>
        <v>-1.62</v>
      </c>
      <c r="H93" s="27">
        <f t="shared" si="20"/>
        <v>2782</v>
      </c>
      <c r="I93" s="28">
        <f t="shared" si="21"/>
        <v>0.14000000000000001</v>
      </c>
      <c r="J93" s="28">
        <f t="shared" si="22"/>
        <v>101.42</v>
      </c>
      <c r="K93" s="28">
        <f t="shared" si="23"/>
        <v>-1.5</v>
      </c>
      <c r="L93" s="28">
        <f t="shared" si="24"/>
        <v>0</v>
      </c>
      <c r="M93" s="28" t="str">
        <f t="shared" si="25"/>
        <v>******</v>
      </c>
    </row>
    <row r="94" spans="1:13" x14ac:dyDescent="0.2">
      <c r="A94" s="29" t="s">
        <v>718</v>
      </c>
    </row>
    <row r="95" spans="1:13" x14ac:dyDescent="0.2">
      <c r="A95" s="29" t="s">
        <v>719</v>
      </c>
    </row>
    <row r="97" spans="1:13" x14ac:dyDescent="0.2">
      <c r="A97" s="18"/>
      <c r="B97" s="52"/>
      <c r="C97" s="19"/>
      <c r="D97" s="19"/>
      <c r="E97" s="19"/>
      <c r="F97" s="20"/>
      <c r="G97" s="20" t="s">
        <v>47</v>
      </c>
      <c r="H97" s="19"/>
      <c r="I97" s="20" t="s">
        <v>47</v>
      </c>
      <c r="J97" s="20"/>
      <c r="K97" s="20" t="s">
        <v>47</v>
      </c>
      <c r="L97" s="20"/>
      <c r="M97" s="20" t="s">
        <v>47</v>
      </c>
    </row>
    <row r="98" spans="1:13" x14ac:dyDescent="0.2">
      <c r="A98" s="17"/>
      <c r="B98" s="52"/>
      <c r="C98" s="19" t="s">
        <v>48</v>
      </c>
      <c r="D98" s="19" t="s">
        <v>48</v>
      </c>
      <c r="E98" s="19"/>
      <c r="F98" s="19" t="s">
        <v>7</v>
      </c>
      <c r="G98" s="20" t="s">
        <v>49</v>
      </c>
      <c r="H98" s="19" t="s">
        <v>7</v>
      </c>
      <c r="I98" s="20" t="s">
        <v>49</v>
      </c>
      <c r="J98" s="20"/>
      <c r="K98" s="20" t="s">
        <v>49</v>
      </c>
      <c r="L98" s="20" t="s">
        <v>8</v>
      </c>
      <c r="M98" s="20" t="s">
        <v>49</v>
      </c>
    </row>
    <row r="99" spans="1:13" x14ac:dyDescent="0.2">
      <c r="A99" s="47" t="s">
        <v>726</v>
      </c>
      <c r="B99" s="52" t="s">
        <v>50</v>
      </c>
      <c r="C99" s="19" t="s">
        <v>7</v>
      </c>
      <c r="D99" s="19" t="s">
        <v>51</v>
      </c>
      <c r="E99" s="19" t="s">
        <v>7</v>
      </c>
      <c r="F99" s="20" t="s">
        <v>11</v>
      </c>
      <c r="G99" s="20" t="s">
        <v>52</v>
      </c>
      <c r="H99" s="19" t="s">
        <v>11</v>
      </c>
      <c r="I99" s="20" t="s">
        <v>52</v>
      </c>
      <c r="J99" s="20" t="s">
        <v>10</v>
      </c>
      <c r="K99" s="20" t="s">
        <v>52</v>
      </c>
      <c r="L99" s="20" t="s">
        <v>11</v>
      </c>
      <c r="M99" s="20" t="s">
        <v>52</v>
      </c>
    </row>
    <row r="100" spans="1:13" x14ac:dyDescent="0.2">
      <c r="A100" s="48" t="s">
        <v>19</v>
      </c>
      <c r="B100" s="53" t="s">
        <v>53</v>
      </c>
      <c r="C100" s="49" t="s">
        <v>51</v>
      </c>
      <c r="D100" s="49" t="s">
        <v>8</v>
      </c>
      <c r="E100" s="49" t="s">
        <v>54</v>
      </c>
      <c r="F100" s="50" t="s">
        <v>13</v>
      </c>
      <c r="G100" s="50" t="s">
        <v>6</v>
      </c>
      <c r="H100" s="49" t="s">
        <v>22</v>
      </c>
      <c r="I100" s="50" t="s">
        <v>6</v>
      </c>
      <c r="J100" s="50" t="s">
        <v>55</v>
      </c>
      <c r="K100" s="50" t="s">
        <v>6</v>
      </c>
      <c r="L100" s="50" t="s">
        <v>13</v>
      </c>
      <c r="M100" s="50" t="s">
        <v>6</v>
      </c>
    </row>
    <row r="102" spans="1:13" x14ac:dyDescent="0.2">
      <c r="A102" s="29" t="s">
        <v>700</v>
      </c>
      <c r="B102" s="27">
        <f t="shared" ref="B102:E117" si="26">SUM(B73:B76)</f>
        <v>108855213</v>
      </c>
      <c r="C102" s="27">
        <f t="shared" si="26"/>
        <v>4086698</v>
      </c>
      <c r="D102" s="27">
        <f t="shared" si="26"/>
        <v>0</v>
      </c>
      <c r="E102" s="27">
        <f t="shared" si="26"/>
        <v>10202845418</v>
      </c>
      <c r="F102" s="28">
        <f>IF(B102=0,0,ROUND((C102/B102)*100,2))</f>
        <v>3.75</v>
      </c>
      <c r="G102" s="28" t="str">
        <f>IF(ISERR((F98-F102)/F98),"*****",ROUND(-((F98-F102)/F98)*100,2))</f>
        <v>*****</v>
      </c>
      <c r="H102" s="27">
        <f>IF(C102=0,0,ROUND(E102/C102,0))</f>
        <v>2497</v>
      </c>
      <c r="I102" s="28" t="str">
        <f>IF(ISERR((H98-H102)/H98),"******",ROUND(-((H98-H102)/H98)*100,2))</f>
        <v>******</v>
      </c>
      <c r="J102" s="28">
        <f>IF(B102=0,0,ROUND(E102/B102,2))</f>
        <v>93.73</v>
      </c>
      <c r="K102" s="28" t="str">
        <f>IF(ISERR((J98-J102)/J98),"******",ROUND(-((J98-J102)/J98)*100,2))</f>
        <v>******</v>
      </c>
      <c r="L102" s="28">
        <f>IF(B102=0,0,ROUND((D102/B102)*100,2))</f>
        <v>0</v>
      </c>
      <c r="M102" s="28" t="str">
        <f>IF(ISERR((L98-L102)/L98),"******",ROUND(-((L98-L102)/L98)*100,2))</f>
        <v>******</v>
      </c>
    </row>
    <row r="103" spans="1:13" x14ac:dyDescent="0.2">
      <c r="A103" s="29" t="s">
        <v>701</v>
      </c>
      <c r="B103" s="27">
        <f t="shared" si="26"/>
        <v>109609181</v>
      </c>
      <c r="C103" s="27">
        <f t="shared" si="26"/>
        <v>4085206</v>
      </c>
      <c r="D103" s="27">
        <f t="shared" si="26"/>
        <v>0</v>
      </c>
      <c r="E103" s="27">
        <f t="shared" si="26"/>
        <v>10255676118</v>
      </c>
      <c r="F103" s="28">
        <f t="shared" ref="F103:F119" si="27">IF(B103=0,0,ROUND((C103/B103)*100,2))</f>
        <v>3.73</v>
      </c>
      <c r="G103" s="28" t="str">
        <f t="shared" ref="G103:G119" si="28">IF(ISERR((F99-F103)/F99),"*****",ROUND(-((F99-F103)/F99)*100,2))</f>
        <v>*****</v>
      </c>
      <c r="H103" s="27">
        <f t="shared" ref="H103:H119" si="29">IF(C103=0,0,ROUND(E103/C103,0))</f>
        <v>2510</v>
      </c>
      <c r="I103" s="28" t="str">
        <f t="shared" ref="I103:I119" si="30">IF(ISERR((H99-H103)/H99),"******",ROUND(-((H99-H103)/H99)*100,2))</f>
        <v>******</v>
      </c>
      <c r="J103" s="28">
        <f t="shared" ref="J103:J119" si="31">IF(B103=0,0,ROUND(E103/B103,2))</f>
        <v>93.57</v>
      </c>
      <c r="K103" s="28" t="str">
        <f t="shared" ref="K103:K119" si="32">IF(ISERR((J99-J103)/J99),"******",ROUND(-((J99-J103)/J99)*100,2))</f>
        <v>******</v>
      </c>
      <c r="L103" s="28">
        <f t="shared" ref="L103:L119" si="33">IF(B103=0,0,ROUND((D103/B103)*100,2))</f>
        <v>0</v>
      </c>
      <c r="M103" s="28" t="str">
        <f t="shared" ref="M103:M119" si="34">IF(ISERR((L99-L103)/L99),"******",ROUND(-((L99-L103)/L99)*100,2))</f>
        <v>******</v>
      </c>
    </row>
    <row r="104" spans="1:13" x14ac:dyDescent="0.2">
      <c r="A104" s="29" t="s">
        <v>702</v>
      </c>
      <c r="B104" s="27">
        <f t="shared" si="26"/>
        <v>110199429</v>
      </c>
      <c r="C104" s="27">
        <f t="shared" si="26"/>
        <v>4110246</v>
      </c>
      <c r="D104" s="27">
        <f t="shared" si="26"/>
        <v>0</v>
      </c>
      <c r="E104" s="27">
        <f t="shared" si="26"/>
        <v>10387859686</v>
      </c>
      <c r="F104" s="28">
        <f t="shared" si="27"/>
        <v>3.73</v>
      </c>
      <c r="G104" s="28" t="str">
        <f t="shared" si="28"/>
        <v>*****</v>
      </c>
      <c r="H104" s="27">
        <f t="shared" si="29"/>
        <v>2527</v>
      </c>
      <c r="I104" s="28" t="str">
        <f t="shared" si="30"/>
        <v>******</v>
      </c>
      <c r="J104" s="28">
        <f t="shared" si="31"/>
        <v>94.26</v>
      </c>
      <c r="K104" s="28" t="str">
        <f t="shared" si="32"/>
        <v>******</v>
      </c>
      <c r="L104" s="28">
        <f t="shared" si="33"/>
        <v>0</v>
      </c>
      <c r="M104" s="28" t="str">
        <f t="shared" si="34"/>
        <v>******</v>
      </c>
    </row>
    <row r="105" spans="1:13" x14ac:dyDescent="0.2">
      <c r="A105" s="29" t="s">
        <v>703</v>
      </c>
      <c r="B105" s="27">
        <f t="shared" si="26"/>
        <v>110814161</v>
      </c>
      <c r="C105" s="27">
        <f t="shared" si="26"/>
        <v>4134219</v>
      </c>
      <c r="D105" s="27">
        <f t="shared" si="26"/>
        <v>0</v>
      </c>
      <c r="E105" s="27">
        <f t="shared" si="26"/>
        <v>10519872747</v>
      </c>
      <c r="F105" s="28">
        <f t="shared" si="27"/>
        <v>3.73</v>
      </c>
      <c r="G105" s="28" t="str">
        <f t="shared" si="28"/>
        <v>*****</v>
      </c>
      <c r="H105" s="27">
        <f t="shared" si="29"/>
        <v>2545</v>
      </c>
      <c r="I105" s="28" t="str">
        <f t="shared" si="30"/>
        <v>******</v>
      </c>
      <c r="J105" s="28">
        <f t="shared" si="31"/>
        <v>94.93</v>
      </c>
      <c r="K105" s="28" t="str">
        <f t="shared" si="32"/>
        <v>******</v>
      </c>
      <c r="L105" s="28">
        <f t="shared" si="33"/>
        <v>0</v>
      </c>
      <c r="M105" s="28" t="str">
        <f t="shared" si="34"/>
        <v>******</v>
      </c>
    </row>
    <row r="106" spans="1:13" x14ac:dyDescent="0.2">
      <c r="A106" s="29" t="s">
        <v>704</v>
      </c>
      <c r="B106" s="27">
        <f t="shared" si="26"/>
        <v>111414016</v>
      </c>
      <c r="C106" s="27">
        <f t="shared" si="26"/>
        <v>4116702</v>
      </c>
      <c r="D106" s="27">
        <f t="shared" si="26"/>
        <v>0</v>
      </c>
      <c r="E106" s="27">
        <f t="shared" si="26"/>
        <v>10569262046</v>
      </c>
      <c r="F106" s="28">
        <f t="shared" si="27"/>
        <v>3.69</v>
      </c>
      <c r="G106" s="28">
        <f t="shared" si="28"/>
        <v>-1.6</v>
      </c>
      <c r="H106" s="27">
        <f t="shared" si="29"/>
        <v>2567</v>
      </c>
      <c r="I106" s="28">
        <f t="shared" si="30"/>
        <v>2.8</v>
      </c>
      <c r="J106" s="28">
        <f t="shared" si="31"/>
        <v>94.86</v>
      </c>
      <c r="K106" s="28">
        <f t="shared" si="32"/>
        <v>1.21</v>
      </c>
      <c r="L106" s="28">
        <f t="shared" si="33"/>
        <v>0</v>
      </c>
      <c r="M106" s="28" t="str">
        <f t="shared" si="34"/>
        <v>******</v>
      </c>
    </row>
    <row r="107" spans="1:13" x14ac:dyDescent="0.2">
      <c r="A107" s="29" t="s">
        <v>705</v>
      </c>
      <c r="B107" s="27">
        <f t="shared" si="26"/>
        <v>111991671</v>
      </c>
      <c r="C107" s="27">
        <f t="shared" si="26"/>
        <v>4100201</v>
      </c>
      <c r="D107" s="27">
        <f t="shared" si="26"/>
        <v>0</v>
      </c>
      <c r="E107" s="27">
        <f t="shared" si="26"/>
        <v>10644224935</v>
      </c>
      <c r="F107" s="28">
        <f t="shared" si="27"/>
        <v>3.66</v>
      </c>
      <c r="G107" s="28">
        <f t="shared" si="28"/>
        <v>-1.88</v>
      </c>
      <c r="H107" s="27">
        <f t="shared" si="29"/>
        <v>2596</v>
      </c>
      <c r="I107" s="28">
        <f t="shared" si="30"/>
        <v>3.43</v>
      </c>
      <c r="J107" s="28">
        <f t="shared" si="31"/>
        <v>95.04</v>
      </c>
      <c r="K107" s="28">
        <f t="shared" si="32"/>
        <v>1.57</v>
      </c>
      <c r="L107" s="28">
        <f t="shared" si="33"/>
        <v>0</v>
      </c>
      <c r="M107" s="28" t="str">
        <f t="shared" si="34"/>
        <v>******</v>
      </c>
    </row>
    <row r="108" spans="1:13" x14ac:dyDescent="0.2">
      <c r="A108" s="29" t="s">
        <v>706</v>
      </c>
      <c r="B108" s="27">
        <f t="shared" si="26"/>
        <v>112574573</v>
      </c>
      <c r="C108" s="27">
        <f t="shared" si="26"/>
        <v>4066399</v>
      </c>
      <c r="D108" s="27">
        <f t="shared" si="26"/>
        <v>0</v>
      </c>
      <c r="E108" s="27">
        <f t="shared" si="26"/>
        <v>10659550988</v>
      </c>
      <c r="F108" s="28">
        <f t="shared" si="27"/>
        <v>3.61</v>
      </c>
      <c r="G108" s="28">
        <f t="shared" si="28"/>
        <v>-3.22</v>
      </c>
      <c r="H108" s="27">
        <f t="shared" si="29"/>
        <v>2621</v>
      </c>
      <c r="I108" s="28">
        <f t="shared" si="30"/>
        <v>3.72</v>
      </c>
      <c r="J108" s="28">
        <f t="shared" si="31"/>
        <v>94.69</v>
      </c>
      <c r="K108" s="28">
        <f t="shared" si="32"/>
        <v>0.46</v>
      </c>
      <c r="L108" s="28">
        <f t="shared" si="33"/>
        <v>0</v>
      </c>
      <c r="M108" s="28" t="str">
        <f t="shared" si="34"/>
        <v>******</v>
      </c>
    </row>
    <row r="109" spans="1:13" x14ac:dyDescent="0.2">
      <c r="A109" s="29" t="s">
        <v>707</v>
      </c>
      <c r="B109" s="27">
        <f t="shared" si="26"/>
        <v>113073555</v>
      </c>
      <c r="C109" s="27">
        <f t="shared" si="26"/>
        <v>4025740</v>
      </c>
      <c r="D109" s="27">
        <f t="shared" si="26"/>
        <v>0</v>
      </c>
      <c r="E109" s="27">
        <f t="shared" si="26"/>
        <v>10642677836</v>
      </c>
      <c r="F109" s="28">
        <f t="shared" si="27"/>
        <v>3.56</v>
      </c>
      <c r="G109" s="28">
        <f t="shared" si="28"/>
        <v>-4.5599999999999996</v>
      </c>
      <c r="H109" s="27">
        <f t="shared" si="29"/>
        <v>2644</v>
      </c>
      <c r="I109" s="28">
        <f t="shared" si="30"/>
        <v>3.89</v>
      </c>
      <c r="J109" s="28">
        <f t="shared" si="31"/>
        <v>94.12</v>
      </c>
      <c r="K109" s="28">
        <f t="shared" si="32"/>
        <v>-0.85</v>
      </c>
      <c r="L109" s="28">
        <f t="shared" si="33"/>
        <v>0</v>
      </c>
      <c r="M109" s="28" t="str">
        <f t="shared" si="34"/>
        <v>******</v>
      </c>
    </row>
    <row r="110" spans="1:13" x14ac:dyDescent="0.2">
      <c r="A110" s="29" t="s">
        <v>708</v>
      </c>
      <c r="B110" s="27">
        <f t="shared" si="26"/>
        <v>113498538</v>
      </c>
      <c r="C110" s="27">
        <f t="shared" si="26"/>
        <v>4047398</v>
      </c>
      <c r="D110" s="27">
        <f t="shared" si="26"/>
        <v>0</v>
      </c>
      <c r="E110" s="27">
        <f t="shared" si="26"/>
        <v>10771447247</v>
      </c>
      <c r="F110" s="28">
        <f t="shared" si="27"/>
        <v>3.57</v>
      </c>
      <c r="G110" s="28">
        <f t="shared" si="28"/>
        <v>-3.25</v>
      </c>
      <c r="H110" s="27">
        <f t="shared" si="29"/>
        <v>2661</v>
      </c>
      <c r="I110" s="28">
        <f t="shared" si="30"/>
        <v>3.66</v>
      </c>
      <c r="J110" s="28">
        <f t="shared" si="31"/>
        <v>94.9</v>
      </c>
      <c r="K110" s="28">
        <f t="shared" si="32"/>
        <v>0.04</v>
      </c>
      <c r="L110" s="28">
        <f t="shared" si="33"/>
        <v>0</v>
      </c>
      <c r="M110" s="28" t="str">
        <f t="shared" si="34"/>
        <v>******</v>
      </c>
    </row>
    <row r="111" spans="1:13" x14ac:dyDescent="0.2">
      <c r="A111" s="29" t="s">
        <v>709</v>
      </c>
      <c r="B111" s="27">
        <f t="shared" si="26"/>
        <v>113910019</v>
      </c>
      <c r="C111" s="27">
        <f t="shared" si="26"/>
        <v>4051459</v>
      </c>
      <c r="D111" s="27">
        <f t="shared" si="26"/>
        <v>0</v>
      </c>
      <c r="E111" s="27">
        <f t="shared" si="26"/>
        <v>10858589076</v>
      </c>
      <c r="F111" s="28">
        <f t="shared" si="27"/>
        <v>3.56</v>
      </c>
      <c r="G111" s="28">
        <f t="shared" si="28"/>
        <v>-2.73</v>
      </c>
      <c r="H111" s="27">
        <f t="shared" si="29"/>
        <v>2680</v>
      </c>
      <c r="I111" s="28">
        <f t="shared" si="30"/>
        <v>3.24</v>
      </c>
      <c r="J111" s="28">
        <f t="shared" si="31"/>
        <v>95.33</v>
      </c>
      <c r="K111" s="28">
        <f t="shared" si="32"/>
        <v>0.31</v>
      </c>
      <c r="L111" s="28">
        <f t="shared" si="33"/>
        <v>0</v>
      </c>
      <c r="M111" s="28" t="str">
        <f t="shared" si="34"/>
        <v>******</v>
      </c>
    </row>
    <row r="112" spans="1:13" x14ac:dyDescent="0.2">
      <c r="A112" s="29" t="s">
        <v>710</v>
      </c>
      <c r="B112" s="27">
        <f t="shared" si="26"/>
        <v>114271405</v>
      </c>
      <c r="C112" s="27">
        <f t="shared" si="26"/>
        <v>4082499</v>
      </c>
      <c r="D112" s="27">
        <f t="shared" si="26"/>
        <v>0</v>
      </c>
      <c r="E112" s="27">
        <f t="shared" si="26"/>
        <v>10995972853</v>
      </c>
      <c r="F112" s="28">
        <f t="shared" si="27"/>
        <v>3.57</v>
      </c>
      <c r="G112" s="28">
        <f t="shared" si="28"/>
        <v>-1.1100000000000001</v>
      </c>
      <c r="H112" s="27">
        <f t="shared" si="29"/>
        <v>2693</v>
      </c>
      <c r="I112" s="28">
        <f t="shared" si="30"/>
        <v>2.75</v>
      </c>
      <c r="J112" s="28">
        <f t="shared" si="31"/>
        <v>96.23</v>
      </c>
      <c r="K112" s="28">
        <f t="shared" si="32"/>
        <v>1.63</v>
      </c>
      <c r="L112" s="28">
        <f t="shared" si="33"/>
        <v>0</v>
      </c>
      <c r="M112" s="28" t="str">
        <f t="shared" si="34"/>
        <v>******</v>
      </c>
    </row>
    <row r="113" spans="1:13" x14ac:dyDescent="0.2">
      <c r="A113" s="29" t="s">
        <v>711</v>
      </c>
      <c r="B113" s="27">
        <f t="shared" si="26"/>
        <v>114591031</v>
      </c>
      <c r="C113" s="27">
        <f t="shared" si="26"/>
        <v>4103030</v>
      </c>
      <c r="D113" s="27">
        <f t="shared" si="26"/>
        <v>0</v>
      </c>
      <c r="E113" s="27">
        <f t="shared" si="26"/>
        <v>11116276488</v>
      </c>
      <c r="F113" s="28">
        <f t="shared" si="27"/>
        <v>3.58</v>
      </c>
      <c r="G113" s="28">
        <f t="shared" si="28"/>
        <v>0.56000000000000005</v>
      </c>
      <c r="H113" s="27">
        <f t="shared" si="29"/>
        <v>2709</v>
      </c>
      <c r="I113" s="28">
        <f t="shared" si="30"/>
        <v>2.46</v>
      </c>
      <c r="J113" s="28">
        <f t="shared" si="31"/>
        <v>97.01</v>
      </c>
      <c r="K113" s="28">
        <f t="shared" si="32"/>
        <v>3.07</v>
      </c>
      <c r="L113" s="28">
        <f t="shared" si="33"/>
        <v>0</v>
      </c>
      <c r="M113" s="28" t="str">
        <f t="shared" si="34"/>
        <v>******</v>
      </c>
    </row>
    <row r="114" spans="1:13" x14ac:dyDescent="0.2">
      <c r="A114" s="29" t="s">
        <v>712</v>
      </c>
      <c r="B114" s="27">
        <f t="shared" si="26"/>
        <v>114860146</v>
      </c>
      <c r="C114" s="27">
        <f t="shared" si="26"/>
        <v>4125593</v>
      </c>
      <c r="D114" s="27">
        <f t="shared" si="26"/>
        <v>0</v>
      </c>
      <c r="E114" s="27">
        <f t="shared" si="26"/>
        <v>11214809109</v>
      </c>
      <c r="F114" s="28">
        <f t="shared" si="27"/>
        <v>3.59</v>
      </c>
      <c r="G114" s="28">
        <f t="shared" si="28"/>
        <v>0.56000000000000005</v>
      </c>
      <c r="H114" s="27">
        <f t="shared" si="29"/>
        <v>2718</v>
      </c>
      <c r="I114" s="28">
        <f t="shared" si="30"/>
        <v>2.14</v>
      </c>
      <c r="J114" s="28">
        <f t="shared" si="31"/>
        <v>97.64</v>
      </c>
      <c r="K114" s="28">
        <f t="shared" si="32"/>
        <v>2.89</v>
      </c>
      <c r="L114" s="28">
        <f t="shared" si="33"/>
        <v>0</v>
      </c>
      <c r="M114" s="28" t="str">
        <f t="shared" si="34"/>
        <v>******</v>
      </c>
    </row>
    <row r="115" spans="1:13" x14ac:dyDescent="0.2">
      <c r="A115" s="29" t="s">
        <v>713</v>
      </c>
      <c r="B115" s="27">
        <f t="shared" si="26"/>
        <v>115199385</v>
      </c>
      <c r="C115" s="27">
        <f t="shared" si="26"/>
        <v>4131596</v>
      </c>
      <c r="D115" s="27">
        <f t="shared" si="26"/>
        <v>0</v>
      </c>
      <c r="E115" s="27">
        <f t="shared" si="26"/>
        <v>11297151861</v>
      </c>
      <c r="F115" s="28">
        <f t="shared" si="27"/>
        <v>3.59</v>
      </c>
      <c r="G115" s="28">
        <f t="shared" si="28"/>
        <v>0.84</v>
      </c>
      <c r="H115" s="27">
        <f t="shared" si="29"/>
        <v>2734</v>
      </c>
      <c r="I115" s="28">
        <f t="shared" si="30"/>
        <v>2.0099999999999998</v>
      </c>
      <c r="J115" s="28">
        <f t="shared" si="31"/>
        <v>98.07</v>
      </c>
      <c r="K115" s="28">
        <f t="shared" si="32"/>
        <v>2.87</v>
      </c>
      <c r="L115" s="28">
        <f t="shared" si="33"/>
        <v>0</v>
      </c>
      <c r="M115" s="28" t="str">
        <f t="shared" si="34"/>
        <v>******</v>
      </c>
    </row>
    <row r="116" spans="1:13" x14ac:dyDescent="0.2">
      <c r="A116" s="29" t="s">
        <v>714</v>
      </c>
      <c r="B116" s="27">
        <f t="shared" si="26"/>
        <v>115500384</v>
      </c>
      <c r="C116" s="27">
        <f t="shared" si="26"/>
        <v>4116626</v>
      </c>
      <c r="D116" s="27">
        <f t="shared" si="26"/>
        <v>0</v>
      </c>
      <c r="E116" s="27">
        <f t="shared" si="26"/>
        <v>11313215837</v>
      </c>
      <c r="F116" s="28">
        <f t="shared" si="27"/>
        <v>3.56</v>
      </c>
      <c r="G116" s="28">
        <f t="shared" si="28"/>
        <v>-0.28000000000000003</v>
      </c>
      <c r="H116" s="27">
        <f t="shared" si="29"/>
        <v>2748</v>
      </c>
      <c r="I116" s="28">
        <f t="shared" si="30"/>
        <v>2.04</v>
      </c>
      <c r="J116" s="28">
        <f t="shared" si="31"/>
        <v>97.95</v>
      </c>
      <c r="K116" s="28">
        <f t="shared" si="32"/>
        <v>1.79</v>
      </c>
      <c r="L116" s="28">
        <f t="shared" si="33"/>
        <v>0</v>
      </c>
      <c r="M116" s="28" t="str">
        <f t="shared" si="34"/>
        <v>******</v>
      </c>
    </row>
    <row r="117" spans="1:13" x14ac:dyDescent="0.2">
      <c r="A117" s="29" t="s">
        <v>715</v>
      </c>
      <c r="B117" s="27">
        <f t="shared" si="26"/>
        <v>115802704</v>
      </c>
      <c r="C117" s="27">
        <f t="shared" si="26"/>
        <v>4089380</v>
      </c>
      <c r="D117" s="27">
        <f t="shared" si="26"/>
        <v>0</v>
      </c>
      <c r="E117" s="27">
        <f t="shared" si="26"/>
        <v>11277651229</v>
      </c>
      <c r="F117" s="28">
        <f t="shared" si="27"/>
        <v>3.53</v>
      </c>
      <c r="G117" s="28">
        <f t="shared" si="28"/>
        <v>-1.4</v>
      </c>
      <c r="H117" s="27">
        <f t="shared" si="29"/>
        <v>2758</v>
      </c>
      <c r="I117" s="28">
        <f t="shared" si="30"/>
        <v>1.81</v>
      </c>
      <c r="J117" s="28">
        <f t="shared" si="31"/>
        <v>97.39</v>
      </c>
      <c r="K117" s="28">
        <f t="shared" si="32"/>
        <v>0.39</v>
      </c>
      <c r="L117" s="28">
        <f t="shared" si="33"/>
        <v>0</v>
      </c>
      <c r="M117" s="28" t="str">
        <f t="shared" si="34"/>
        <v>******</v>
      </c>
    </row>
    <row r="118" spans="1:13" x14ac:dyDescent="0.2">
      <c r="A118" s="29" t="s">
        <v>716</v>
      </c>
      <c r="B118" s="27">
        <f t="shared" ref="B118:E119" si="35">SUM(B89:B92)</f>
        <v>116083830</v>
      </c>
      <c r="C118" s="27">
        <f t="shared" si="35"/>
        <v>4027198</v>
      </c>
      <c r="D118" s="27">
        <f t="shared" si="35"/>
        <v>0</v>
      </c>
      <c r="E118" s="27">
        <f t="shared" si="35"/>
        <v>11170583462</v>
      </c>
      <c r="F118" s="28">
        <f t="shared" si="27"/>
        <v>3.47</v>
      </c>
      <c r="G118" s="28">
        <f t="shared" si="28"/>
        <v>-3.34</v>
      </c>
      <c r="H118" s="27">
        <f t="shared" si="29"/>
        <v>2774</v>
      </c>
      <c r="I118" s="28">
        <f t="shared" si="30"/>
        <v>2.06</v>
      </c>
      <c r="J118" s="28">
        <f t="shared" si="31"/>
        <v>96.23</v>
      </c>
      <c r="K118" s="28">
        <f t="shared" si="32"/>
        <v>-1.44</v>
      </c>
      <c r="L118" s="28">
        <f t="shared" si="33"/>
        <v>0</v>
      </c>
      <c r="M118" s="28" t="str">
        <f t="shared" si="34"/>
        <v>******</v>
      </c>
    </row>
    <row r="119" spans="1:13" x14ac:dyDescent="0.2">
      <c r="A119" s="29" t="s">
        <v>717</v>
      </c>
      <c r="B119" s="27">
        <f t="shared" si="35"/>
        <v>116196421</v>
      </c>
      <c r="C119" s="27">
        <f t="shared" si="35"/>
        <v>4014068</v>
      </c>
      <c r="D119" s="27">
        <f t="shared" si="35"/>
        <v>0</v>
      </c>
      <c r="E119" s="27">
        <f t="shared" si="35"/>
        <v>11137852388</v>
      </c>
      <c r="F119" s="28">
        <f t="shared" si="27"/>
        <v>3.45</v>
      </c>
      <c r="G119" s="28">
        <f t="shared" si="28"/>
        <v>-3.9</v>
      </c>
      <c r="H119" s="27">
        <f t="shared" si="29"/>
        <v>2775</v>
      </c>
      <c r="I119" s="28">
        <f t="shared" si="30"/>
        <v>1.5</v>
      </c>
      <c r="J119" s="28">
        <f t="shared" si="31"/>
        <v>95.85</v>
      </c>
      <c r="K119" s="28">
        <f t="shared" si="32"/>
        <v>-2.2599999999999998</v>
      </c>
      <c r="L119" s="28">
        <f t="shared" si="33"/>
        <v>0</v>
      </c>
      <c r="M119" s="28" t="str">
        <f t="shared" si="34"/>
        <v>******</v>
      </c>
    </row>
    <row r="120" spans="1:13" x14ac:dyDescent="0.2">
      <c r="A120" s="29" t="s">
        <v>718</v>
      </c>
    </row>
    <row r="121" spans="1:13" x14ac:dyDescent="0.2">
      <c r="A121" s="29" t="s">
        <v>719</v>
      </c>
    </row>
    <row r="125" spans="1:13" ht="13.5" x14ac:dyDescent="0.2">
      <c r="A125" s="26"/>
      <c r="B125" s="29"/>
      <c r="C125" s="70" t="s">
        <v>43</v>
      </c>
      <c r="D125" s="70"/>
      <c r="E125" s="70"/>
      <c r="F125" s="70"/>
      <c r="G125" s="70"/>
      <c r="H125" s="70"/>
      <c r="I125" s="70"/>
      <c r="J125" s="70"/>
      <c r="K125" s="70"/>
      <c r="L125" s="17"/>
      <c r="M125" s="17"/>
    </row>
    <row r="126" spans="1:13" x14ac:dyDescent="0.2">
      <c r="A126" s="37" t="s">
        <v>23</v>
      </c>
      <c r="B126" s="29"/>
      <c r="C126" s="70" t="s">
        <v>42</v>
      </c>
      <c r="D126" s="70"/>
      <c r="E126" s="70"/>
      <c r="F126" s="70"/>
      <c r="G126" s="70"/>
      <c r="H126" s="70"/>
      <c r="I126" s="70"/>
      <c r="J126" s="70"/>
      <c r="K126" s="70"/>
      <c r="L126" s="17"/>
      <c r="M126" s="17"/>
    </row>
    <row r="127" spans="1:13" x14ac:dyDescent="0.2">
      <c r="A127" s="34"/>
      <c r="B127" s="51"/>
      <c r="C127" s="15"/>
      <c r="D127" s="15"/>
      <c r="E127" s="15"/>
      <c r="F127" s="16"/>
      <c r="G127" s="16"/>
      <c r="H127" s="15"/>
      <c r="I127" s="16"/>
      <c r="J127" s="16"/>
      <c r="K127" s="16"/>
      <c r="L127" s="16"/>
      <c r="M127" s="16"/>
    </row>
    <row r="128" spans="1:13" x14ac:dyDescent="0.2">
      <c r="A128" s="17"/>
      <c r="C128" s="15" t="s">
        <v>732</v>
      </c>
      <c r="D128" s="15"/>
      <c r="E128" s="15"/>
      <c r="F128" s="16"/>
      <c r="G128" s="15" t="s">
        <v>733</v>
      </c>
      <c r="H128" s="15"/>
      <c r="I128" s="16"/>
      <c r="J128" s="16"/>
      <c r="K128" s="16"/>
      <c r="L128" s="16"/>
      <c r="M128" s="16"/>
    </row>
    <row r="129" spans="1:13" x14ac:dyDescent="0.2">
      <c r="A129" s="17"/>
      <c r="C129" s="15"/>
      <c r="D129" s="15"/>
      <c r="E129" s="15"/>
      <c r="F129" s="16"/>
      <c r="G129" s="16"/>
      <c r="H129" s="15"/>
      <c r="I129" s="16"/>
      <c r="J129" s="16"/>
      <c r="K129" s="16"/>
      <c r="L129" s="16"/>
      <c r="M129" s="16"/>
    </row>
    <row r="130" spans="1:13" x14ac:dyDescent="0.2">
      <c r="A130" s="18"/>
      <c r="B130" s="52"/>
      <c r="C130" s="19"/>
      <c r="D130" s="19"/>
      <c r="E130" s="19"/>
      <c r="F130" s="20"/>
      <c r="G130" s="20" t="s">
        <v>47</v>
      </c>
      <c r="H130" s="19"/>
      <c r="I130" s="20" t="s">
        <v>47</v>
      </c>
      <c r="J130" s="20"/>
      <c r="K130" s="20" t="s">
        <v>47</v>
      </c>
      <c r="L130" s="20"/>
      <c r="M130" s="20" t="s">
        <v>47</v>
      </c>
    </row>
    <row r="131" spans="1:13" x14ac:dyDescent="0.2">
      <c r="A131" s="17"/>
      <c r="B131" s="52"/>
      <c r="C131" s="19" t="s">
        <v>48</v>
      </c>
      <c r="D131" s="19" t="s">
        <v>48</v>
      </c>
      <c r="E131" s="19"/>
      <c r="F131" s="19" t="s">
        <v>7</v>
      </c>
      <c r="G131" s="20" t="s">
        <v>49</v>
      </c>
      <c r="H131" s="19" t="s">
        <v>7</v>
      </c>
      <c r="I131" s="20" t="s">
        <v>49</v>
      </c>
      <c r="J131" s="20"/>
      <c r="K131" s="20" t="s">
        <v>49</v>
      </c>
      <c r="L131" s="20" t="s">
        <v>8</v>
      </c>
      <c r="M131" s="20" t="s">
        <v>49</v>
      </c>
    </row>
    <row r="132" spans="1:13" x14ac:dyDescent="0.2">
      <c r="A132" s="47" t="s">
        <v>20</v>
      </c>
      <c r="B132" s="52" t="s">
        <v>50</v>
      </c>
      <c r="C132" s="19" t="s">
        <v>7</v>
      </c>
      <c r="D132" s="19" t="s">
        <v>51</v>
      </c>
      <c r="E132" s="19" t="s">
        <v>7</v>
      </c>
      <c r="F132" s="20" t="s">
        <v>11</v>
      </c>
      <c r="G132" s="20" t="s">
        <v>52</v>
      </c>
      <c r="H132" s="19" t="s">
        <v>11</v>
      </c>
      <c r="I132" s="20" t="s">
        <v>52</v>
      </c>
      <c r="J132" s="20" t="s">
        <v>10</v>
      </c>
      <c r="K132" s="20" t="s">
        <v>52</v>
      </c>
      <c r="L132" s="20" t="s">
        <v>11</v>
      </c>
      <c r="M132" s="20" t="s">
        <v>52</v>
      </c>
    </row>
    <row r="133" spans="1:13" x14ac:dyDescent="0.2">
      <c r="A133" s="48" t="s">
        <v>19</v>
      </c>
      <c r="B133" s="53" t="s">
        <v>53</v>
      </c>
      <c r="C133" s="49" t="s">
        <v>51</v>
      </c>
      <c r="D133" s="49" t="s">
        <v>8</v>
      </c>
      <c r="E133" s="49" t="s">
        <v>54</v>
      </c>
      <c r="F133" s="50" t="s">
        <v>13</v>
      </c>
      <c r="G133" s="50" t="s">
        <v>6</v>
      </c>
      <c r="H133" s="49" t="s">
        <v>22</v>
      </c>
      <c r="I133" s="50" t="s">
        <v>6</v>
      </c>
      <c r="J133" s="50" t="s">
        <v>55</v>
      </c>
      <c r="K133" s="50" t="s">
        <v>6</v>
      </c>
      <c r="L133" s="50" t="s">
        <v>13</v>
      </c>
      <c r="M133" s="50" t="s">
        <v>6</v>
      </c>
    </row>
    <row r="135" spans="1:13" x14ac:dyDescent="0.2">
      <c r="A135" s="29" t="s">
        <v>722</v>
      </c>
      <c r="B135" s="27">
        <f>VLOOKUP($A11&amp;"COMP"&amp;State2,Sheet5!$A$2:$I$295,2,FALSE)</f>
        <v>22435562</v>
      </c>
      <c r="C135" s="27">
        <f>VLOOKUP($A11&amp;"COMP"&amp;State2,Sheet5!$A$2:$I$295,3,FALSE)</f>
        <v>1515377</v>
      </c>
      <c r="D135" s="27">
        <f>VLOOKUP($A11&amp;"COMP"&amp;State2,Sheet5!$A$2:$I$295,4,FALSE)</f>
        <v>0</v>
      </c>
      <c r="E135" s="27">
        <f>VLOOKUP($A11&amp;"COMP"&amp;State2,Sheet5!$A$2:$I$295,5,FALSE)</f>
        <v>1317123219</v>
      </c>
      <c r="F135" s="28">
        <f>IF(B135=0,0,ROUND((C135/B135)*100,2))</f>
        <v>6.75</v>
      </c>
      <c r="G135" s="28" t="str">
        <f>IF(ISERR((F131-F135)/F131),"*****",ROUND(-((F131-F135)/F131)*100,2))</f>
        <v>*****</v>
      </c>
      <c r="H135" s="27">
        <f>IF(C135=0,0,ROUND(E135/C135,0))</f>
        <v>869</v>
      </c>
      <c r="I135" s="28" t="str">
        <f>IF(ISERR((H131-H135)/H131),"******",ROUND(-((H131-H135)/H131)*100,2))</f>
        <v>******</v>
      </c>
      <c r="J135" s="28">
        <f>IF(B135=0,0,ROUND(E135/B135,2))</f>
        <v>58.71</v>
      </c>
      <c r="K135" s="28" t="str">
        <f>IF(ISERR((J131-J135)/J131),"******",ROUND(-((J131-J135)/J131)*100,2))</f>
        <v>******</v>
      </c>
      <c r="L135" s="28">
        <f>IF(B135=0,0,ROUND((D135/B135)*100,2))</f>
        <v>0</v>
      </c>
      <c r="M135" s="28" t="str">
        <f>IF(ISERR((L131-L135)/L131),"******",ROUND(-((L131-L135)/L131)*100,2))</f>
        <v>******</v>
      </c>
    </row>
    <row r="136" spans="1:13" x14ac:dyDescent="0.2">
      <c r="A136" s="29" t="s">
        <v>723</v>
      </c>
      <c r="B136" s="27">
        <f>VLOOKUP($A12&amp;"COMP"&amp;State2,Sheet5!$A$2:$I$295,2,FALSE)</f>
        <v>22716149</v>
      </c>
      <c r="C136" s="27">
        <f>VLOOKUP($A12&amp;"COMP"&amp;State2,Sheet5!$A$2:$I$295,3,FALSE)</f>
        <v>1781644</v>
      </c>
      <c r="D136" s="27">
        <f>VLOOKUP($A12&amp;"COMP"&amp;State2,Sheet5!$A$2:$I$295,4,FALSE)</f>
        <v>0</v>
      </c>
      <c r="E136" s="27">
        <f>VLOOKUP($A12&amp;"COMP"&amp;State2,Sheet5!$A$2:$I$295,5,FALSE)</f>
        <v>1611687499</v>
      </c>
      <c r="F136" s="28">
        <f t="shared" ref="F136:F155" si="36">IF(B136=0,0,ROUND((C136/B136)*100,2))</f>
        <v>7.84</v>
      </c>
      <c r="G136" s="28" t="str">
        <f t="shared" ref="G136:G155" si="37">IF(ISERR((F132-F136)/F132),"*****",ROUND(-((F132-F136)/F132)*100,2))</f>
        <v>*****</v>
      </c>
      <c r="H136" s="27">
        <f t="shared" ref="H136:H155" si="38">IF(C136=0,0,ROUND(E136/C136,0))</f>
        <v>905</v>
      </c>
      <c r="I136" s="28" t="str">
        <f t="shared" ref="I136:I155" si="39">IF(ISERR((H132-H136)/H132),"******",ROUND(-((H132-H136)/H132)*100,2))</f>
        <v>******</v>
      </c>
      <c r="J136" s="28">
        <f t="shared" ref="J136:J155" si="40">IF(B136=0,0,ROUND(E136/B136,2))</f>
        <v>70.95</v>
      </c>
      <c r="K136" s="28" t="str">
        <f t="shared" ref="K136:K155" si="41">IF(ISERR((J132-J136)/J132),"******",ROUND(-((J132-J136)/J132)*100,2))</f>
        <v>******</v>
      </c>
      <c r="L136" s="28">
        <f t="shared" ref="L136:L155" si="42">IF(B136=0,0,ROUND((D136/B136)*100,2))</f>
        <v>0</v>
      </c>
      <c r="M136" s="28" t="str">
        <f t="shared" ref="M136:M155" si="43">IF(ISERR((L132-L136)/L132),"******",ROUND(-((L132-L136)/L132)*100,2))</f>
        <v>******</v>
      </c>
    </row>
    <row r="137" spans="1:13" x14ac:dyDescent="0.2">
      <c r="A137" s="29" t="s">
        <v>724</v>
      </c>
      <c r="B137" s="27">
        <f>VLOOKUP($A13&amp;"COMP"&amp;State2,Sheet5!$A$2:$I$295,2,FALSE)</f>
        <v>22812687</v>
      </c>
      <c r="C137" s="27">
        <f>VLOOKUP($A13&amp;"COMP"&amp;State2,Sheet5!$A$2:$I$295,3,FALSE)</f>
        <v>1830437</v>
      </c>
      <c r="D137" s="27">
        <f>VLOOKUP($A13&amp;"COMP"&amp;State2,Sheet5!$A$2:$I$295,4,FALSE)</f>
        <v>0</v>
      </c>
      <c r="E137" s="27">
        <f>VLOOKUP($A13&amp;"COMP"&amp;State2,Sheet5!$A$2:$I$295,5,FALSE)</f>
        <v>1779971125</v>
      </c>
      <c r="F137" s="28">
        <f t="shared" si="36"/>
        <v>8.02</v>
      </c>
      <c r="G137" s="28" t="str">
        <f t="shared" si="37"/>
        <v>*****</v>
      </c>
      <c r="H137" s="27">
        <f t="shared" si="38"/>
        <v>972</v>
      </c>
      <c r="I137" s="28" t="str">
        <f t="shared" si="39"/>
        <v>******</v>
      </c>
      <c r="J137" s="28">
        <f t="shared" si="40"/>
        <v>78.03</v>
      </c>
      <c r="K137" s="28" t="str">
        <f t="shared" si="41"/>
        <v>******</v>
      </c>
      <c r="L137" s="28">
        <f t="shared" si="42"/>
        <v>0</v>
      </c>
      <c r="M137" s="28" t="str">
        <f t="shared" si="43"/>
        <v>******</v>
      </c>
    </row>
    <row r="138" spans="1:13" x14ac:dyDescent="0.2">
      <c r="A138" s="29" t="s">
        <v>700</v>
      </c>
      <c r="B138" s="27">
        <f>VLOOKUP($A14&amp;"COMP"&amp;State2,Sheet5!$A$2:$I$295,2,FALSE)</f>
        <v>22842404</v>
      </c>
      <c r="C138" s="27">
        <f>VLOOKUP($A14&amp;"COMP"&amp;State2,Sheet5!$A$2:$I$295,3,FALSE)</f>
        <v>1576866</v>
      </c>
      <c r="D138" s="27">
        <f>VLOOKUP($A14&amp;"COMP"&amp;State2,Sheet5!$A$2:$I$295,4,FALSE)</f>
        <v>0</v>
      </c>
      <c r="E138" s="27">
        <f>VLOOKUP($A14&amp;"COMP"&amp;State2,Sheet5!$A$2:$I$295,5,FALSE)</f>
        <v>1688281653</v>
      </c>
      <c r="F138" s="28">
        <f t="shared" si="36"/>
        <v>6.9</v>
      </c>
      <c r="G138" s="28" t="str">
        <f t="shared" si="37"/>
        <v>*****</v>
      </c>
      <c r="H138" s="27">
        <f t="shared" si="38"/>
        <v>1071</v>
      </c>
      <c r="I138" s="28" t="str">
        <f t="shared" si="39"/>
        <v>******</v>
      </c>
      <c r="J138" s="28">
        <f t="shared" si="40"/>
        <v>73.91</v>
      </c>
      <c r="K138" s="28" t="str">
        <f t="shared" si="41"/>
        <v>******</v>
      </c>
      <c r="L138" s="28">
        <f t="shared" si="42"/>
        <v>0</v>
      </c>
      <c r="M138" s="28" t="str">
        <f t="shared" si="43"/>
        <v>******</v>
      </c>
    </row>
    <row r="139" spans="1:13" x14ac:dyDescent="0.2">
      <c r="A139" s="29" t="s">
        <v>701</v>
      </c>
      <c r="B139" s="27">
        <f>VLOOKUP($A15&amp;"COMP"&amp;State2,Sheet5!$A$2:$I$295,2,FALSE)</f>
        <v>22877878</v>
      </c>
      <c r="C139" s="27">
        <f>VLOOKUP($A15&amp;"COMP"&amp;State2,Sheet5!$A$2:$I$295,3,FALSE)</f>
        <v>1505685</v>
      </c>
      <c r="D139" s="27">
        <f>VLOOKUP($A15&amp;"COMP"&amp;State2,Sheet5!$A$2:$I$295,4,FALSE)</f>
        <v>0</v>
      </c>
      <c r="E139" s="27">
        <f>VLOOKUP($A15&amp;"COMP"&amp;State2,Sheet5!$A$2:$I$295,5,FALSE)</f>
        <v>1345541739</v>
      </c>
      <c r="F139" s="28">
        <f t="shared" si="36"/>
        <v>6.58</v>
      </c>
      <c r="G139" s="28">
        <f t="shared" si="37"/>
        <v>-2.52</v>
      </c>
      <c r="H139" s="27">
        <f t="shared" si="38"/>
        <v>894</v>
      </c>
      <c r="I139" s="28">
        <f t="shared" si="39"/>
        <v>2.88</v>
      </c>
      <c r="J139" s="28">
        <f t="shared" si="40"/>
        <v>58.81</v>
      </c>
      <c r="K139" s="28">
        <f t="shared" si="41"/>
        <v>0.17</v>
      </c>
      <c r="L139" s="28">
        <f t="shared" si="42"/>
        <v>0</v>
      </c>
      <c r="M139" s="28" t="str">
        <f t="shared" si="43"/>
        <v>******</v>
      </c>
    </row>
    <row r="140" spans="1:13" x14ac:dyDescent="0.2">
      <c r="A140" s="29" t="s">
        <v>702</v>
      </c>
      <c r="B140" s="27">
        <f>VLOOKUP($A16&amp;"COMP"&amp;State2,Sheet5!$A$2:$I$295,2,FALSE)</f>
        <v>23071084</v>
      </c>
      <c r="C140" s="27">
        <f>VLOOKUP($A16&amp;"COMP"&amp;State2,Sheet5!$A$2:$I$295,3,FALSE)</f>
        <v>1718369</v>
      </c>
      <c r="D140" s="27">
        <f>VLOOKUP($A16&amp;"COMP"&amp;State2,Sheet5!$A$2:$I$295,4,FALSE)</f>
        <v>0</v>
      </c>
      <c r="E140" s="27">
        <f>VLOOKUP($A16&amp;"COMP"&amp;State2,Sheet5!$A$2:$I$295,5,FALSE)</f>
        <v>1539741461</v>
      </c>
      <c r="F140" s="28">
        <f t="shared" si="36"/>
        <v>7.45</v>
      </c>
      <c r="G140" s="28">
        <f t="shared" si="37"/>
        <v>-4.97</v>
      </c>
      <c r="H140" s="27">
        <f t="shared" si="38"/>
        <v>896</v>
      </c>
      <c r="I140" s="28">
        <f t="shared" si="39"/>
        <v>-0.99</v>
      </c>
      <c r="J140" s="28">
        <f t="shared" si="40"/>
        <v>66.739999999999995</v>
      </c>
      <c r="K140" s="28">
        <f t="shared" si="41"/>
        <v>-5.93</v>
      </c>
      <c r="L140" s="28">
        <f t="shared" si="42"/>
        <v>0</v>
      </c>
      <c r="M140" s="28" t="str">
        <f t="shared" si="43"/>
        <v>******</v>
      </c>
    </row>
    <row r="141" spans="1:13" x14ac:dyDescent="0.2">
      <c r="A141" s="29" t="s">
        <v>703</v>
      </c>
      <c r="B141" s="27">
        <f>VLOOKUP($A17&amp;"COMP"&amp;State2,Sheet5!$A$2:$I$295,2,FALSE)</f>
        <v>23220206</v>
      </c>
      <c r="C141" s="27">
        <f>VLOOKUP($A17&amp;"COMP"&amp;State2,Sheet5!$A$2:$I$295,3,FALSE)</f>
        <v>1723585</v>
      </c>
      <c r="D141" s="27">
        <f>VLOOKUP($A17&amp;"COMP"&amp;State2,Sheet5!$A$2:$I$295,4,FALSE)</f>
        <v>0</v>
      </c>
      <c r="E141" s="27">
        <f>VLOOKUP($A17&amp;"COMP"&amp;State2,Sheet5!$A$2:$I$295,5,FALSE)</f>
        <v>1793939155</v>
      </c>
      <c r="F141" s="28">
        <f t="shared" si="36"/>
        <v>7.42</v>
      </c>
      <c r="G141" s="28">
        <f t="shared" si="37"/>
        <v>-7.48</v>
      </c>
      <c r="H141" s="27">
        <f t="shared" si="38"/>
        <v>1041</v>
      </c>
      <c r="I141" s="28">
        <f t="shared" si="39"/>
        <v>7.1</v>
      </c>
      <c r="J141" s="28">
        <f t="shared" si="40"/>
        <v>77.260000000000005</v>
      </c>
      <c r="K141" s="28">
        <f t="shared" si="41"/>
        <v>-0.99</v>
      </c>
      <c r="L141" s="28">
        <f t="shared" si="42"/>
        <v>0</v>
      </c>
      <c r="M141" s="28" t="str">
        <f t="shared" si="43"/>
        <v>******</v>
      </c>
    </row>
    <row r="142" spans="1:13" x14ac:dyDescent="0.2">
      <c r="A142" s="29" t="s">
        <v>704</v>
      </c>
      <c r="B142" s="27">
        <f>VLOOKUP($A18&amp;"COMP"&amp;State2,Sheet5!$A$2:$I$295,2,FALSE)</f>
        <v>23296113</v>
      </c>
      <c r="C142" s="27">
        <f>VLOOKUP($A18&amp;"COMP"&amp;State2,Sheet5!$A$2:$I$295,3,FALSE)</f>
        <v>1673184</v>
      </c>
      <c r="D142" s="27">
        <f>VLOOKUP($A18&amp;"COMP"&amp;State2,Sheet5!$A$2:$I$295,4,FALSE)</f>
        <v>0</v>
      </c>
      <c r="E142" s="27">
        <f>VLOOKUP($A18&amp;"COMP"&amp;State2,Sheet5!$A$2:$I$295,5,FALSE)</f>
        <v>2574920020</v>
      </c>
      <c r="F142" s="28">
        <f t="shared" si="36"/>
        <v>7.18</v>
      </c>
      <c r="G142" s="28">
        <f t="shared" si="37"/>
        <v>4.0599999999999996</v>
      </c>
      <c r="H142" s="27">
        <f t="shared" si="38"/>
        <v>1539</v>
      </c>
      <c r="I142" s="28">
        <f t="shared" si="39"/>
        <v>43.7</v>
      </c>
      <c r="J142" s="28">
        <f t="shared" si="40"/>
        <v>110.53</v>
      </c>
      <c r="K142" s="28">
        <f t="shared" si="41"/>
        <v>49.55</v>
      </c>
      <c r="L142" s="28">
        <f t="shared" si="42"/>
        <v>0</v>
      </c>
      <c r="M142" s="28" t="str">
        <f t="shared" si="43"/>
        <v>******</v>
      </c>
    </row>
    <row r="143" spans="1:13" x14ac:dyDescent="0.2">
      <c r="A143" s="29" t="s">
        <v>705</v>
      </c>
      <c r="B143" s="27">
        <f>VLOOKUP($A19&amp;"COMP"&amp;State2,Sheet5!$A$2:$I$295,2,FALSE)</f>
        <v>23285873</v>
      </c>
      <c r="C143" s="27">
        <f>VLOOKUP($A19&amp;"COMP"&amp;State2,Sheet5!$A$2:$I$295,3,FALSE)</f>
        <v>1449157</v>
      </c>
      <c r="D143" s="27">
        <f>VLOOKUP($A19&amp;"COMP"&amp;State2,Sheet5!$A$2:$I$295,4,FALSE)</f>
        <v>0</v>
      </c>
      <c r="E143" s="27">
        <f>VLOOKUP($A19&amp;"COMP"&amp;State2,Sheet5!$A$2:$I$295,5,FALSE)</f>
        <v>1499994857</v>
      </c>
      <c r="F143" s="28">
        <f t="shared" si="36"/>
        <v>6.22</v>
      </c>
      <c r="G143" s="28">
        <f t="shared" si="37"/>
        <v>-5.47</v>
      </c>
      <c r="H143" s="27">
        <f t="shared" si="38"/>
        <v>1035</v>
      </c>
      <c r="I143" s="28">
        <f t="shared" si="39"/>
        <v>15.77</v>
      </c>
      <c r="J143" s="28">
        <f t="shared" si="40"/>
        <v>64.42</v>
      </c>
      <c r="K143" s="28">
        <f t="shared" si="41"/>
        <v>9.5399999999999991</v>
      </c>
      <c r="L143" s="28">
        <f t="shared" si="42"/>
        <v>0</v>
      </c>
      <c r="M143" s="28" t="str">
        <f t="shared" si="43"/>
        <v>******</v>
      </c>
    </row>
    <row r="144" spans="1:13" x14ac:dyDescent="0.2">
      <c r="A144" s="29" t="s">
        <v>706</v>
      </c>
      <c r="B144" s="27">
        <f>VLOOKUP($A20&amp;"COMP"&amp;State2,Sheet5!$A$2:$I$295,2,FALSE)</f>
        <v>23519849</v>
      </c>
      <c r="C144" s="27">
        <f>VLOOKUP($A20&amp;"COMP"&amp;State2,Sheet5!$A$2:$I$295,3,FALSE)</f>
        <v>1690652</v>
      </c>
      <c r="D144" s="27">
        <f>VLOOKUP($A20&amp;"COMP"&amp;State2,Sheet5!$A$2:$I$295,4,FALSE)</f>
        <v>0</v>
      </c>
      <c r="E144" s="27">
        <f>VLOOKUP($A20&amp;"COMP"&amp;State2,Sheet5!$A$2:$I$295,5,FALSE)</f>
        <v>1805248873</v>
      </c>
      <c r="F144" s="28">
        <f t="shared" si="36"/>
        <v>7.19</v>
      </c>
      <c r="G144" s="28">
        <f t="shared" si="37"/>
        <v>-3.49</v>
      </c>
      <c r="H144" s="27">
        <f t="shared" si="38"/>
        <v>1068</v>
      </c>
      <c r="I144" s="28">
        <f t="shared" si="39"/>
        <v>19.2</v>
      </c>
      <c r="J144" s="28">
        <f t="shared" si="40"/>
        <v>76.75</v>
      </c>
      <c r="K144" s="28">
        <f t="shared" si="41"/>
        <v>15</v>
      </c>
      <c r="L144" s="28">
        <f t="shared" si="42"/>
        <v>0</v>
      </c>
      <c r="M144" s="28" t="str">
        <f t="shared" si="43"/>
        <v>******</v>
      </c>
    </row>
    <row r="145" spans="1:13" x14ac:dyDescent="0.2">
      <c r="A145" s="29" t="s">
        <v>707</v>
      </c>
      <c r="B145" s="27">
        <f>VLOOKUP($A21&amp;"COMP"&amp;State2,Sheet5!$A$2:$I$295,2,FALSE)</f>
        <v>23643674</v>
      </c>
      <c r="C145" s="27">
        <f>VLOOKUP($A21&amp;"COMP"&amp;State2,Sheet5!$A$2:$I$295,3,FALSE)</f>
        <v>1540786</v>
      </c>
      <c r="D145" s="27">
        <f>VLOOKUP($A21&amp;"COMP"&amp;State2,Sheet5!$A$2:$I$295,4,FALSE)</f>
        <v>0</v>
      </c>
      <c r="E145" s="27">
        <f>VLOOKUP($A21&amp;"COMP"&amp;State2,Sheet5!$A$2:$I$295,5,FALSE)</f>
        <v>1604410109</v>
      </c>
      <c r="F145" s="28">
        <f t="shared" si="36"/>
        <v>6.52</v>
      </c>
      <c r="G145" s="28">
        <f t="shared" si="37"/>
        <v>-12.13</v>
      </c>
      <c r="H145" s="27">
        <f t="shared" si="38"/>
        <v>1041</v>
      </c>
      <c r="I145" s="28">
        <f t="shared" si="39"/>
        <v>0</v>
      </c>
      <c r="J145" s="28">
        <f t="shared" si="40"/>
        <v>67.86</v>
      </c>
      <c r="K145" s="28">
        <f t="shared" si="41"/>
        <v>-12.17</v>
      </c>
      <c r="L145" s="28">
        <f t="shared" si="42"/>
        <v>0</v>
      </c>
      <c r="M145" s="28" t="str">
        <f t="shared" si="43"/>
        <v>******</v>
      </c>
    </row>
    <row r="146" spans="1:13" x14ac:dyDescent="0.2">
      <c r="A146" s="29" t="s">
        <v>708</v>
      </c>
      <c r="B146" s="27">
        <f>VLOOKUP($A22&amp;"COMP"&amp;State2,Sheet5!$A$2:$I$295,2,FALSE)</f>
        <v>23670498</v>
      </c>
      <c r="C146" s="27">
        <f>VLOOKUP($A22&amp;"COMP"&amp;State2,Sheet5!$A$2:$I$295,3,FALSE)</f>
        <v>1402635</v>
      </c>
      <c r="D146" s="27">
        <f>VLOOKUP($A22&amp;"COMP"&amp;State2,Sheet5!$A$2:$I$295,4,FALSE)</f>
        <v>0</v>
      </c>
      <c r="E146" s="27">
        <f>VLOOKUP($A22&amp;"COMP"&amp;State2,Sheet5!$A$2:$I$295,5,FALSE)</f>
        <v>1677101151</v>
      </c>
      <c r="F146" s="28">
        <f t="shared" si="36"/>
        <v>5.93</v>
      </c>
      <c r="G146" s="28">
        <f t="shared" si="37"/>
        <v>-17.41</v>
      </c>
      <c r="H146" s="27">
        <f t="shared" si="38"/>
        <v>1196</v>
      </c>
      <c r="I146" s="28">
        <f t="shared" si="39"/>
        <v>-22.29</v>
      </c>
      <c r="J146" s="28">
        <f t="shared" si="40"/>
        <v>70.849999999999994</v>
      </c>
      <c r="K146" s="28">
        <f t="shared" si="41"/>
        <v>-35.9</v>
      </c>
      <c r="L146" s="28">
        <f t="shared" si="42"/>
        <v>0</v>
      </c>
      <c r="M146" s="28" t="str">
        <f t="shared" si="43"/>
        <v>******</v>
      </c>
    </row>
    <row r="147" spans="1:13" x14ac:dyDescent="0.2">
      <c r="A147" s="29" t="s">
        <v>709</v>
      </c>
      <c r="B147" s="27">
        <f>VLOOKUP($A23&amp;"COMP"&amp;State2,Sheet5!$A$2:$I$295,2,FALSE)</f>
        <v>23696052</v>
      </c>
      <c r="C147" s="27">
        <f>VLOOKUP($A23&amp;"COMP"&amp;State2,Sheet5!$A$2:$I$295,3,FALSE)</f>
        <v>1324962</v>
      </c>
      <c r="D147" s="27">
        <f>VLOOKUP($A23&amp;"COMP"&amp;State2,Sheet5!$A$2:$I$295,4,FALSE)</f>
        <v>0</v>
      </c>
      <c r="E147" s="27">
        <f>VLOOKUP($A23&amp;"COMP"&amp;State2,Sheet5!$A$2:$I$295,5,FALSE)</f>
        <v>1380554370</v>
      </c>
      <c r="F147" s="28">
        <f t="shared" si="36"/>
        <v>5.59</v>
      </c>
      <c r="G147" s="28">
        <f t="shared" si="37"/>
        <v>-10.130000000000001</v>
      </c>
      <c r="H147" s="27">
        <f t="shared" si="38"/>
        <v>1042</v>
      </c>
      <c r="I147" s="28">
        <f t="shared" si="39"/>
        <v>0.68</v>
      </c>
      <c r="J147" s="28">
        <f t="shared" si="40"/>
        <v>58.26</v>
      </c>
      <c r="K147" s="28">
        <f t="shared" si="41"/>
        <v>-9.56</v>
      </c>
      <c r="L147" s="28">
        <f t="shared" si="42"/>
        <v>0</v>
      </c>
      <c r="M147" s="28" t="str">
        <f t="shared" si="43"/>
        <v>******</v>
      </c>
    </row>
    <row r="148" spans="1:13" x14ac:dyDescent="0.2">
      <c r="A148" s="29" t="s">
        <v>710</v>
      </c>
      <c r="B148" s="27">
        <f>VLOOKUP($A24&amp;"COMP"&amp;State2,Sheet5!$A$2:$I$295,2,FALSE)</f>
        <v>23925233</v>
      </c>
      <c r="C148" s="27">
        <f>VLOOKUP($A24&amp;"COMP"&amp;State2,Sheet5!$A$2:$I$295,3,FALSE)</f>
        <v>1538114</v>
      </c>
      <c r="D148" s="27">
        <f>VLOOKUP($A24&amp;"COMP"&amp;State2,Sheet5!$A$2:$I$295,4,FALSE)</f>
        <v>0</v>
      </c>
      <c r="E148" s="27">
        <f>VLOOKUP($A24&amp;"COMP"&amp;State2,Sheet5!$A$2:$I$295,5,FALSE)</f>
        <v>1522935640</v>
      </c>
      <c r="F148" s="28">
        <f t="shared" si="36"/>
        <v>6.43</v>
      </c>
      <c r="G148" s="28">
        <f t="shared" si="37"/>
        <v>-10.57</v>
      </c>
      <c r="H148" s="27">
        <f t="shared" si="38"/>
        <v>990</v>
      </c>
      <c r="I148" s="28">
        <f t="shared" si="39"/>
        <v>-7.3</v>
      </c>
      <c r="J148" s="28">
        <f t="shared" si="40"/>
        <v>63.65</v>
      </c>
      <c r="K148" s="28">
        <f t="shared" si="41"/>
        <v>-17.07</v>
      </c>
      <c r="L148" s="28">
        <f t="shared" si="42"/>
        <v>0</v>
      </c>
      <c r="M148" s="28" t="str">
        <f t="shared" si="43"/>
        <v>******</v>
      </c>
    </row>
    <row r="149" spans="1:13" x14ac:dyDescent="0.2">
      <c r="A149" s="29" t="s">
        <v>711</v>
      </c>
      <c r="B149" s="27">
        <f>VLOOKUP($A25&amp;"COMP"&amp;State2,Sheet5!$A$2:$I$295,2,FALSE)</f>
        <v>24033958</v>
      </c>
      <c r="C149" s="27">
        <f>VLOOKUP($A25&amp;"COMP"&amp;State2,Sheet5!$A$2:$I$295,3,FALSE)</f>
        <v>1540091</v>
      </c>
      <c r="D149" s="27">
        <f>VLOOKUP($A25&amp;"COMP"&amp;State2,Sheet5!$A$2:$I$295,4,FALSE)</f>
        <v>0</v>
      </c>
      <c r="E149" s="27">
        <f>VLOOKUP($A25&amp;"COMP"&amp;State2,Sheet5!$A$2:$I$295,5,FALSE)</f>
        <v>1643104658</v>
      </c>
      <c r="F149" s="28">
        <f t="shared" si="36"/>
        <v>6.41</v>
      </c>
      <c r="G149" s="28">
        <f t="shared" si="37"/>
        <v>-1.69</v>
      </c>
      <c r="H149" s="27">
        <f t="shared" si="38"/>
        <v>1067</v>
      </c>
      <c r="I149" s="28">
        <f t="shared" si="39"/>
        <v>2.5</v>
      </c>
      <c r="J149" s="28">
        <f t="shared" si="40"/>
        <v>68.37</v>
      </c>
      <c r="K149" s="28">
        <f t="shared" si="41"/>
        <v>0.75</v>
      </c>
      <c r="L149" s="28">
        <f t="shared" si="42"/>
        <v>0</v>
      </c>
      <c r="M149" s="28" t="str">
        <f t="shared" si="43"/>
        <v>******</v>
      </c>
    </row>
    <row r="150" spans="1:13" x14ac:dyDescent="0.2">
      <c r="A150" s="29" t="s">
        <v>712</v>
      </c>
      <c r="B150" s="27">
        <f>VLOOKUP($A26&amp;"COMP"&amp;State2,Sheet5!$A$2:$I$295,2,FALSE)</f>
        <v>24058706</v>
      </c>
      <c r="C150" s="27">
        <f>VLOOKUP($A26&amp;"COMP"&amp;State2,Sheet5!$A$2:$I$295,3,FALSE)</f>
        <v>1382100</v>
      </c>
      <c r="D150" s="27">
        <f>VLOOKUP($A26&amp;"COMP"&amp;State2,Sheet5!$A$2:$I$295,4,FALSE)</f>
        <v>0</v>
      </c>
      <c r="E150" s="27">
        <f>VLOOKUP($A26&amp;"COMP"&amp;State2,Sheet5!$A$2:$I$295,5,FALSE)</f>
        <v>1635276639</v>
      </c>
      <c r="F150" s="28">
        <f t="shared" si="36"/>
        <v>5.74</v>
      </c>
      <c r="G150" s="28">
        <f t="shared" si="37"/>
        <v>-3.2</v>
      </c>
      <c r="H150" s="27">
        <f t="shared" si="38"/>
        <v>1183</v>
      </c>
      <c r="I150" s="28">
        <f t="shared" si="39"/>
        <v>-1.0900000000000001</v>
      </c>
      <c r="J150" s="28">
        <f t="shared" si="40"/>
        <v>67.97</v>
      </c>
      <c r="K150" s="28">
        <f t="shared" si="41"/>
        <v>-4.0599999999999996</v>
      </c>
      <c r="L150" s="28">
        <f t="shared" si="42"/>
        <v>0</v>
      </c>
      <c r="M150" s="28" t="str">
        <f t="shared" si="43"/>
        <v>******</v>
      </c>
    </row>
    <row r="151" spans="1:13" x14ac:dyDescent="0.2">
      <c r="A151" s="29" t="s">
        <v>713</v>
      </c>
      <c r="B151" s="27">
        <f>VLOOKUP($A27&amp;"COMP"&amp;State2,Sheet5!$A$2:$I$295,2,FALSE)</f>
        <v>24095834</v>
      </c>
      <c r="C151" s="27">
        <f>VLOOKUP($A27&amp;"COMP"&amp;State2,Sheet5!$A$2:$I$295,3,FALSE)</f>
        <v>1346991</v>
      </c>
      <c r="D151" s="27">
        <f>VLOOKUP($A27&amp;"COMP"&amp;State2,Sheet5!$A$2:$I$295,4,FALSE)</f>
        <v>0</v>
      </c>
      <c r="E151" s="27">
        <f>VLOOKUP($A27&amp;"COMP"&amp;State2,Sheet5!$A$2:$I$295,5,FALSE)</f>
        <v>1479506584</v>
      </c>
      <c r="F151" s="28">
        <f t="shared" si="36"/>
        <v>5.59</v>
      </c>
      <c r="G151" s="28">
        <f t="shared" si="37"/>
        <v>0</v>
      </c>
      <c r="H151" s="27">
        <f t="shared" si="38"/>
        <v>1098</v>
      </c>
      <c r="I151" s="28">
        <f t="shared" si="39"/>
        <v>5.37</v>
      </c>
      <c r="J151" s="28">
        <f t="shared" si="40"/>
        <v>61.4</v>
      </c>
      <c r="K151" s="28">
        <f t="shared" si="41"/>
        <v>5.39</v>
      </c>
      <c r="L151" s="28">
        <f t="shared" si="42"/>
        <v>0</v>
      </c>
      <c r="M151" s="28" t="str">
        <f t="shared" si="43"/>
        <v>******</v>
      </c>
    </row>
    <row r="152" spans="1:13" x14ac:dyDescent="0.2">
      <c r="A152" s="29" t="s">
        <v>714</v>
      </c>
      <c r="B152" s="27">
        <f>VLOOKUP($A28&amp;"COMP"&amp;State2,Sheet5!$A$2:$I$295,2,FALSE)</f>
        <v>24257693</v>
      </c>
      <c r="C152" s="27">
        <f>VLOOKUP($A28&amp;"COMP"&amp;State2,Sheet5!$A$2:$I$295,3,FALSE)</f>
        <v>1682614</v>
      </c>
      <c r="D152" s="27">
        <f>VLOOKUP($A28&amp;"COMP"&amp;State2,Sheet5!$A$2:$I$295,4,FALSE)</f>
        <v>0</v>
      </c>
      <c r="E152" s="27">
        <f>VLOOKUP($A28&amp;"COMP"&amp;State2,Sheet5!$A$2:$I$295,5,FALSE)</f>
        <v>2016464996</v>
      </c>
      <c r="F152" s="28">
        <f t="shared" si="36"/>
        <v>6.94</v>
      </c>
      <c r="G152" s="28">
        <f t="shared" si="37"/>
        <v>7.93</v>
      </c>
      <c r="H152" s="27">
        <f t="shared" si="38"/>
        <v>1198</v>
      </c>
      <c r="I152" s="28">
        <f t="shared" si="39"/>
        <v>21.01</v>
      </c>
      <c r="J152" s="28">
        <f t="shared" si="40"/>
        <v>83.13</v>
      </c>
      <c r="K152" s="28">
        <f t="shared" si="41"/>
        <v>30.6</v>
      </c>
      <c r="L152" s="28">
        <f t="shared" si="42"/>
        <v>0</v>
      </c>
      <c r="M152" s="28" t="str">
        <f t="shared" si="43"/>
        <v>******</v>
      </c>
    </row>
    <row r="153" spans="1:13" x14ac:dyDescent="0.2">
      <c r="A153" s="29" t="s">
        <v>715</v>
      </c>
      <c r="B153" s="27">
        <f>VLOOKUP($A29&amp;"COMP"&amp;State2,Sheet5!$A$2:$I$295,2,FALSE)</f>
        <v>24323490</v>
      </c>
      <c r="C153" s="27">
        <f>VLOOKUP($A29&amp;"COMP"&amp;State2,Sheet5!$A$2:$I$295,3,FALSE)</f>
        <v>1580436</v>
      </c>
      <c r="D153" s="27">
        <f>VLOOKUP($A29&amp;"COMP"&amp;State2,Sheet5!$A$2:$I$295,4,FALSE)</f>
        <v>0</v>
      </c>
      <c r="E153" s="27">
        <f>VLOOKUP($A29&amp;"COMP"&amp;State2,Sheet5!$A$2:$I$295,5,FALSE)</f>
        <v>1885753931</v>
      </c>
      <c r="F153" s="28">
        <f t="shared" si="36"/>
        <v>6.5</v>
      </c>
      <c r="G153" s="28">
        <f t="shared" si="37"/>
        <v>1.4</v>
      </c>
      <c r="H153" s="27">
        <f t="shared" si="38"/>
        <v>1193</v>
      </c>
      <c r="I153" s="28">
        <f t="shared" si="39"/>
        <v>11.81</v>
      </c>
      <c r="J153" s="28">
        <f t="shared" si="40"/>
        <v>77.53</v>
      </c>
      <c r="K153" s="28">
        <f t="shared" si="41"/>
        <v>13.4</v>
      </c>
      <c r="L153" s="28">
        <f t="shared" si="42"/>
        <v>0</v>
      </c>
      <c r="M153" s="28" t="str">
        <f t="shared" si="43"/>
        <v>******</v>
      </c>
    </row>
    <row r="154" spans="1:13" x14ac:dyDescent="0.2">
      <c r="A154" s="29" t="s">
        <v>716</v>
      </c>
      <c r="B154" s="27">
        <f>VLOOKUP($A30&amp;"COMP"&amp;State2,Sheet5!$A$2:$I$295,2,FALSE)</f>
        <v>24254022</v>
      </c>
      <c r="C154" s="27">
        <f>VLOOKUP($A30&amp;"COMP"&amp;State2,Sheet5!$A$2:$I$295,3,FALSE)</f>
        <v>1343844</v>
      </c>
      <c r="D154" s="27">
        <f>VLOOKUP($A30&amp;"COMP"&amp;State2,Sheet5!$A$2:$I$295,4,FALSE)</f>
        <v>0</v>
      </c>
      <c r="E154" s="27">
        <f>VLOOKUP($A30&amp;"COMP"&amp;State2,Sheet5!$A$2:$I$295,5,FALSE)</f>
        <v>1788535813</v>
      </c>
      <c r="F154" s="28">
        <f t="shared" si="36"/>
        <v>5.54</v>
      </c>
      <c r="G154" s="28">
        <f t="shared" si="37"/>
        <v>-3.48</v>
      </c>
      <c r="H154" s="27">
        <f t="shared" si="38"/>
        <v>1331</v>
      </c>
      <c r="I154" s="28">
        <f t="shared" si="39"/>
        <v>12.51</v>
      </c>
      <c r="J154" s="28">
        <f t="shared" si="40"/>
        <v>73.739999999999995</v>
      </c>
      <c r="K154" s="28">
        <f t="shared" si="41"/>
        <v>8.49</v>
      </c>
      <c r="L154" s="28">
        <f t="shared" si="42"/>
        <v>0</v>
      </c>
      <c r="M154" s="28" t="str">
        <f t="shared" si="43"/>
        <v>******</v>
      </c>
    </row>
    <row r="155" spans="1:13" x14ac:dyDescent="0.2">
      <c r="A155" s="29" t="s">
        <v>717</v>
      </c>
      <c r="B155" s="27">
        <f>VLOOKUP($A31&amp;"COMP"&amp;State2,Sheet5!$A$2:$I$295,2,FALSE)</f>
        <v>24145327</v>
      </c>
      <c r="C155" s="27">
        <f>VLOOKUP($A31&amp;"COMP"&amp;State2,Sheet5!$A$2:$I$295,3,FALSE)</f>
        <v>1347741</v>
      </c>
      <c r="D155" s="27">
        <f>VLOOKUP($A31&amp;"COMP"&amp;State2,Sheet5!$A$2:$I$295,4,FALSE)</f>
        <v>0</v>
      </c>
      <c r="E155" s="27">
        <f>VLOOKUP($A31&amp;"COMP"&amp;State2,Sheet5!$A$2:$I$295,5,FALSE)</f>
        <v>1430131212</v>
      </c>
      <c r="F155" s="28">
        <f t="shared" si="36"/>
        <v>5.58</v>
      </c>
      <c r="G155" s="28">
        <f t="shared" si="37"/>
        <v>-0.18</v>
      </c>
      <c r="H155" s="27">
        <f t="shared" si="38"/>
        <v>1061</v>
      </c>
      <c r="I155" s="28">
        <f t="shared" si="39"/>
        <v>-3.37</v>
      </c>
      <c r="J155" s="28">
        <f t="shared" si="40"/>
        <v>59.23</v>
      </c>
      <c r="K155" s="28">
        <f t="shared" si="41"/>
        <v>-3.53</v>
      </c>
      <c r="L155" s="28">
        <f t="shared" si="42"/>
        <v>0</v>
      </c>
      <c r="M155" s="28" t="str">
        <f t="shared" si="43"/>
        <v>******</v>
      </c>
    </row>
    <row r="156" spans="1:13" x14ac:dyDescent="0.2">
      <c r="A156" s="29" t="s">
        <v>718</v>
      </c>
    </row>
    <row r="157" spans="1:13" x14ac:dyDescent="0.2">
      <c r="A157" s="29" t="s">
        <v>719</v>
      </c>
    </row>
    <row r="159" spans="1:13" x14ac:dyDescent="0.2">
      <c r="A159" s="18"/>
      <c r="B159" s="52"/>
      <c r="C159" s="19"/>
      <c r="D159" s="19"/>
      <c r="E159" s="19"/>
      <c r="F159" s="20"/>
      <c r="G159" s="20" t="s">
        <v>47</v>
      </c>
      <c r="H159" s="19"/>
      <c r="I159" s="20" t="s">
        <v>47</v>
      </c>
      <c r="J159" s="20"/>
      <c r="K159" s="20" t="s">
        <v>47</v>
      </c>
      <c r="L159" s="20"/>
      <c r="M159" s="20" t="s">
        <v>47</v>
      </c>
    </row>
    <row r="160" spans="1:13" x14ac:dyDescent="0.2">
      <c r="A160" s="17"/>
      <c r="B160" s="52"/>
      <c r="C160" s="19" t="s">
        <v>48</v>
      </c>
      <c r="D160" s="19" t="s">
        <v>48</v>
      </c>
      <c r="E160" s="19"/>
      <c r="F160" s="19" t="s">
        <v>7</v>
      </c>
      <c r="G160" s="20" t="s">
        <v>49</v>
      </c>
      <c r="H160" s="19" t="s">
        <v>7</v>
      </c>
      <c r="I160" s="20" t="s">
        <v>49</v>
      </c>
      <c r="J160" s="20"/>
      <c r="K160" s="20" t="s">
        <v>49</v>
      </c>
      <c r="L160" s="20" t="s">
        <v>8</v>
      </c>
      <c r="M160" s="20" t="s">
        <v>49</v>
      </c>
    </row>
    <row r="161" spans="1:13" x14ac:dyDescent="0.2">
      <c r="A161" s="47" t="s">
        <v>726</v>
      </c>
      <c r="B161" s="52" t="s">
        <v>50</v>
      </c>
      <c r="C161" s="19" t="s">
        <v>7</v>
      </c>
      <c r="D161" s="19" t="s">
        <v>51</v>
      </c>
      <c r="E161" s="19" t="s">
        <v>7</v>
      </c>
      <c r="F161" s="20" t="s">
        <v>11</v>
      </c>
      <c r="G161" s="20" t="s">
        <v>52</v>
      </c>
      <c r="H161" s="19" t="s">
        <v>11</v>
      </c>
      <c r="I161" s="20" t="s">
        <v>52</v>
      </c>
      <c r="J161" s="20" t="s">
        <v>10</v>
      </c>
      <c r="K161" s="20" t="s">
        <v>52</v>
      </c>
      <c r="L161" s="20" t="s">
        <v>11</v>
      </c>
      <c r="M161" s="20" t="s">
        <v>52</v>
      </c>
    </row>
    <row r="162" spans="1:13" x14ac:dyDescent="0.2">
      <c r="A162" s="48" t="s">
        <v>19</v>
      </c>
      <c r="B162" s="53" t="s">
        <v>53</v>
      </c>
      <c r="C162" s="49" t="s">
        <v>51</v>
      </c>
      <c r="D162" s="49" t="s">
        <v>8</v>
      </c>
      <c r="E162" s="49" t="s">
        <v>54</v>
      </c>
      <c r="F162" s="50" t="s">
        <v>13</v>
      </c>
      <c r="G162" s="50" t="s">
        <v>6</v>
      </c>
      <c r="H162" s="49" t="s">
        <v>22</v>
      </c>
      <c r="I162" s="50" t="s">
        <v>6</v>
      </c>
      <c r="J162" s="50" t="s">
        <v>55</v>
      </c>
      <c r="K162" s="50" t="s">
        <v>6</v>
      </c>
      <c r="L162" s="50" t="s">
        <v>13</v>
      </c>
      <c r="M162" s="50" t="s">
        <v>6</v>
      </c>
    </row>
    <row r="164" spans="1:13" x14ac:dyDescent="0.2">
      <c r="A164" s="29" t="s">
        <v>700</v>
      </c>
      <c r="B164" s="27">
        <f t="shared" ref="B164:E179" si="44">SUM(B135:B138)</f>
        <v>90806802</v>
      </c>
      <c r="C164" s="27">
        <f t="shared" si="44"/>
        <v>6704324</v>
      </c>
      <c r="D164" s="27">
        <f t="shared" si="44"/>
        <v>0</v>
      </c>
      <c r="E164" s="27">
        <f t="shared" si="44"/>
        <v>6397063496</v>
      </c>
      <c r="F164" s="28">
        <f>IF(B164=0,0,ROUND((C164/B164)*100,2))</f>
        <v>7.38</v>
      </c>
      <c r="G164" s="28" t="str">
        <f>IF(ISERR((F160-F164)/F160),"*****",ROUND(-((F160-F164)/F160)*100,2))</f>
        <v>*****</v>
      </c>
      <c r="H164" s="27">
        <f>IF(C164=0,0,ROUND(E164/C164,0))</f>
        <v>954</v>
      </c>
      <c r="I164" s="28" t="str">
        <f>IF(ISERR((H160-H164)/H160),"******",ROUND(-((H160-H164)/H160)*100,2))</f>
        <v>******</v>
      </c>
      <c r="J164" s="28">
        <f>IF(B164=0,0,ROUND(E164/B164,2))</f>
        <v>70.45</v>
      </c>
      <c r="K164" s="28" t="str">
        <f>IF(ISERR((J160-J164)/J160),"******",ROUND(-((J160-J164)/J160)*100,2))</f>
        <v>******</v>
      </c>
      <c r="L164" s="28">
        <f>IF(B164=0,0,ROUND((D164/B164)*100,2))</f>
        <v>0</v>
      </c>
      <c r="M164" s="28" t="str">
        <f>IF(ISERR((L160-L164)/L160),"******",ROUND(-((L160-L164)/L160)*100,2))</f>
        <v>******</v>
      </c>
    </row>
    <row r="165" spans="1:13" x14ac:dyDescent="0.2">
      <c r="A165" s="29" t="s">
        <v>701</v>
      </c>
      <c r="B165" s="27">
        <f t="shared" si="44"/>
        <v>91249118</v>
      </c>
      <c r="C165" s="27">
        <f t="shared" si="44"/>
        <v>6694632</v>
      </c>
      <c r="D165" s="27">
        <f t="shared" si="44"/>
        <v>0</v>
      </c>
      <c r="E165" s="27">
        <f t="shared" si="44"/>
        <v>6425482016</v>
      </c>
      <c r="F165" s="28">
        <f t="shared" ref="F165:F181" si="45">IF(B165=0,0,ROUND((C165/B165)*100,2))</f>
        <v>7.34</v>
      </c>
      <c r="G165" s="28" t="str">
        <f t="shared" ref="G165:G181" si="46">IF(ISERR((F161-F165)/F161),"*****",ROUND(-((F161-F165)/F161)*100,2))</f>
        <v>*****</v>
      </c>
      <c r="H165" s="27">
        <f t="shared" ref="H165:H181" si="47">IF(C165=0,0,ROUND(E165/C165,0))</f>
        <v>960</v>
      </c>
      <c r="I165" s="28" t="str">
        <f t="shared" ref="I165:I181" si="48">IF(ISERR((H161-H165)/H161),"******",ROUND(-((H161-H165)/H161)*100,2))</f>
        <v>******</v>
      </c>
      <c r="J165" s="28">
        <f t="shared" ref="J165:J181" si="49">IF(B165=0,0,ROUND(E165/B165,2))</f>
        <v>70.42</v>
      </c>
      <c r="K165" s="28" t="str">
        <f t="shared" ref="K165:K181" si="50">IF(ISERR((J161-J165)/J161),"******",ROUND(-((J161-J165)/J161)*100,2))</f>
        <v>******</v>
      </c>
      <c r="L165" s="28">
        <f t="shared" ref="L165:L181" si="51">IF(B165=0,0,ROUND((D165/B165)*100,2))</f>
        <v>0</v>
      </c>
      <c r="M165" s="28" t="str">
        <f t="shared" ref="M165:M181" si="52">IF(ISERR((L161-L165)/L161),"******",ROUND(-((L161-L165)/L161)*100,2))</f>
        <v>******</v>
      </c>
    </row>
    <row r="166" spans="1:13" x14ac:dyDescent="0.2">
      <c r="A166" s="29" t="s">
        <v>702</v>
      </c>
      <c r="B166" s="27">
        <f t="shared" si="44"/>
        <v>91604053</v>
      </c>
      <c r="C166" s="27">
        <f t="shared" si="44"/>
        <v>6631357</v>
      </c>
      <c r="D166" s="27">
        <f t="shared" si="44"/>
        <v>0</v>
      </c>
      <c r="E166" s="27">
        <f t="shared" si="44"/>
        <v>6353535978</v>
      </c>
      <c r="F166" s="28">
        <f t="shared" si="45"/>
        <v>7.24</v>
      </c>
      <c r="G166" s="28" t="str">
        <f t="shared" si="46"/>
        <v>*****</v>
      </c>
      <c r="H166" s="27">
        <f t="shared" si="47"/>
        <v>958</v>
      </c>
      <c r="I166" s="28" t="str">
        <f t="shared" si="48"/>
        <v>******</v>
      </c>
      <c r="J166" s="28">
        <f t="shared" si="49"/>
        <v>69.36</v>
      </c>
      <c r="K166" s="28" t="str">
        <f t="shared" si="50"/>
        <v>******</v>
      </c>
      <c r="L166" s="28">
        <f t="shared" si="51"/>
        <v>0</v>
      </c>
      <c r="M166" s="28" t="str">
        <f t="shared" si="52"/>
        <v>******</v>
      </c>
    </row>
    <row r="167" spans="1:13" x14ac:dyDescent="0.2">
      <c r="A167" s="29" t="s">
        <v>703</v>
      </c>
      <c r="B167" s="27">
        <f t="shared" si="44"/>
        <v>92011572</v>
      </c>
      <c r="C167" s="27">
        <f t="shared" si="44"/>
        <v>6524505</v>
      </c>
      <c r="D167" s="27">
        <f t="shared" si="44"/>
        <v>0</v>
      </c>
      <c r="E167" s="27">
        <f t="shared" si="44"/>
        <v>6367504008</v>
      </c>
      <c r="F167" s="28">
        <f t="shared" si="45"/>
        <v>7.09</v>
      </c>
      <c r="G167" s="28" t="str">
        <f t="shared" si="46"/>
        <v>*****</v>
      </c>
      <c r="H167" s="27">
        <f t="shared" si="47"/>
        <v>976</v>
      </c>
      <c r="I167" s="28" t="str">
        <f t="shared" si="48"/>
        <v>******</v>
      </c>
      <c r="J167" s="28">
        <f t="shared" si="49"/>
        <v>69.2</v>
      </c>
      <c r="K167" s="28" t="str">
        <f t="shared" si="50"/>
        <v>******</v>
      </c>
      <c r="L167" s="28">
        <f t="shared" si="51"/>
        <v>0</v>
      </c>
      <c r="M167" s="28" t="str">
        <f t="shared" si="52"/>
        <v>******</v>
      </c>
    </row>
    <row r="168" spans="1:13" x14ac:dyDescent="0.2">
      <c r="A168" s="29" t="s">
        <v>704</v>
      </c>
      <c r="B168" s="27">
        <f t="shared" si="44"/>
        <v>92465281</v>
      </c>
      <c r="C168" s="27">
        <f t="shared" si="44"/>
        <v>6620823</v>
      </c>
      <c r="D168" s="27">
        <f t="shared" si="44"/>
        <v>0</v>
      </c>
      <c r="E168" s="27">
        <f t="shared" si="44"/>
        <v>7254142375</v>
      </c>
      <c r="F168" s="28">
        <f t="shared" si="45"/>
        <v>7.16</v>
      </c>
      <c r="G168" s="28">
        <f t="shared" si="46"/>
        <v>-2.98</v>
      </c>
      <c r="H168" s="27">
        <f t="shared" si="47"/>
        <v>1096</v>
      </c>
      <c r="I168" s="28">
        <f t="shared" si="48"/>
        <v>14.88</v>
      </c>
      <c r="J168" s="28">
        <f t="shared" si="49"/>
        <v>78.45</v>
      </c>
      <c r="K168" s="28">
        <f t="shared" si="50"/>
        <v>11.36</v>
      </c>
      <c r="L168" s="28">
        <f t="shared" si="51"/>
        <v>0</v>
      </c>
      <c r="M168" s="28" t="str">
        <f t="shared" si="52"/>
        <v>******</v>
      </c>
    </row>
    <row r="169" spans="1:13" x14ac:dyDescent="0.2">
      <c r="A169" s="29" t="s">
        <v>705</v>
      </c>
      <c r="B169" s="27">
        <f t="shared" si="44"/>
        <v>92873276</v>
      </c>
      <c r="C169" s="27">
        <f t="shared" si="44"/>
        <v>6564295</v>
      </c>
      <c r="D169" s="27">
        <f t="shared" si="44"/>
        <v>0</v>
      </c>
      <c r="E169" s="27">
        <f t="shared" si="44"/>
        <v>7408595493</v>
      </c>
      <c r="F169" s="28">
        <f t="shared" si="45"/>
        <v>7.07</v>
      </c>
      <c r="G169" s="28">
        <f t="shared" si="46"/>
        <v>-3.68</v>
      </c>
      <c r="H169" s="27">
        <f t="shared" si="47"/>
        <v>1129</v>
      </c>
      <c r="I169" s="28">
        <f t="shared" si="48"/>
        <v>17.600000000000001</v>
      </c>
      <c r="J169" s="28">
        <f t="shared" si="49"/>
        <v>79.77</v>
      </c>
      <c r="K169" s="28">
        <f t="shared" si="50"/>
        <v>13.28</v>
      </c>
      <c r="L169" s="28">
        <f t="shared" si="51"/>
        <v>0</v>
      </c>
      <c r="M169" s="28" t="str">
        <f t="shared" si="52"/>
        <v>******</v>
      </c>
    </row>
    <row r="170" spans="1:13" x14ac:dyDescent="0.2">
      <c r="A170" s="29" t="s">
        <v>706</v>
      </c>
      <c r="B170" s="27">
        <f t="shared" si="44"/>
        <v>93322041</v>
      </c>
      <c r="C170" s="27">
        <f t="shared" si="44"/>
        <v>6536578</v>
      </c>
      <c r="D170" s="27">
        <f t="shared" si="44"/>
        <v>0</v>
      </c>
      <c r="E170" s="27">
        <f t="shared" si="44"/>
        <v>7674102905</v>
      </c>
      <c r="F170" s="28">
        <f t="shared" si="45"/>
        <v>7</v>
      </c>
      <c r="G170" s="28">
        <f t="shared" si="46"/>
        <v>-3.31</v>
      </c>
      <c r="H170" s="27">
        <f t="shared" si="47"/>
        <v>1174</v>
      </c>
      <c r="I170" s="28">
        <f t="shared" si="48"/>
        <v>22.55</v>
      </c>
      <c r="J170" s="28">
        <f t="shared" si="49"/>
        <v>82.23</v>
      </c>
      <c r="K170" s="28">
        <f t="shared" si="50"/>
        <v>18.559999999999999</v>
      </c>
      <c r="L170" s="28">
        <f t="shared" si="51"/>
        <v>0</v>
      </c>
      <c r="M170" s="28" t="str">
        <f t="shared" si="52"/>
        <v>******</v>
      </c>
    </row>
    <row r="171" spans="1:13" x14ac:dyDescent="0.2">
      <c r="A171" s="29" t="s">
        <v>707</v>
      </c>
      <c r="B171" s="27">
        <f t="shared" si="44"/>
        <v>93745509</v>
      </c>
      <c r="C171" s="27">
        <f t="shared" si="44"/>
        <v>6353779</v>
      </c>
      <c r="D171" s="27">
        <f t="shared" si="44"/>
        <v>0</v>
      </c>
      <c r="E171" s="27">
        <f t="shared" si="44"/>
        <v>7484573859</v>
      </c>
      <c r="F171" s="28">
        <f t="shared" si="45"/>
        <v>6.78</v>
      </c>
      <c r="G171" s="28">
        <f t="shared" si="46"/>
        <v>-4.37</v>
      </c>
      <c r="H171" s="27">
        <f t="shared" si="47"/>
        <v>1178</v>
      </c>
      <c r="I171" s="28">
        <f t="shared" si="48"/>
        <v>20.7</v>
      </c>
      <c r="J171" s="28">
        <f t="shared" si="49"/>
        <v>79.84</v>
      </c>
      <c r="K171" s="28">
        <f t="shared" si="50"/>
        <v>15.38</v>
      </c>
      <c r="L171" s="28">
        <f t="shared" si="51"/>
        <v>0</v>
      </c>
      <c r="M171" s="28" t="str">
        <f t="shared" si="52"/>
        <v>******</v>
      </c>
    </row>
    <row r="172" spans="1:13" x14ac:dyDescent="0.2">
      <c r="A172" s="29" t="s">
        <v>708</v>
      </c>
      <c r="B172" s="27">
        <f t="shared" si="44"/>
        <v>94119894</v>
      </c>
      <c r="C172" s="27">
        <f t="shared" si="44"/>
        <v>6083230</v>
      </c>
      <c r="D172" s="27">
        <f t="shared" si="44"/>
        <v>0</v>
      </c>
      <c r="E172" s="27">
        <f t="shared" si="44"/>
        <v>6586754990</v>
      </c>
      <c r="F172" s="28">
        <f t="shared" si="45"/>
        <v>6.46</v>
      </c>
      <c r="G172" s="28">
        <f t="shared" si="46"/>
        <v>-9.7799999999999994</v>
      </c>
      <c r="H172" s="27">
        <f t="shared" si="47"/>
        <v>1083</v>
      </c>
      <c r="I172" s="28">
        <f t="shared" si="48"/>
        <v>-1.19</v>
      </c>
      <c r="J172" s="28">
        <f t="shared" si="49"/>
        <v>69.98</v>
      </c>
      <c r="K172" s="28">
        <f t="shared" si="50"/>
        <v>-10.8</v>
      </c>
      <c r="L172" s="28">
        <f t="shared" si="51"/>
        <v>0</v>
      </c>
      <c r="M172" s="28" t="str">
        <f t="shared" si="52"/>
        <v>******</v>
      </c>
    </row>
    <row r="173" spans="1:13" x14ac:dyDescent="0.2">
      <c r="A173" s="29" t="s">
        <v>709</v>
      </c>
      <c r="B173" s="27">
        <f t="shared" si="44"/>
        <v>94530073</v>
      </c>
      <c r="C173" s="27">
        <f t="shared" si="44"/>
        <v>5959035</v>
      </c>
      <c r="D173" s="27">
        <f t="shared" si="44"/>
        <v>0</v>
      </c>
      <c r="E173" s="27">
        <f t="shared" si="44"/>
        <v>6467314503</v>
      </c>
      <c r="F173" s="28">
        <f t="shared" si="45"/>
        <v>6.3</v>
      </c>
      <c r="G173" s="28">
        <f t="shared" si="46"/>
        <v>-10.89</v>
      </c>
      <c r="H173" s="27">
        <f t="shared" si="47"/>
        <v>1085</v>
      </c>
      <c r="I173" s="28">
        <f t="shared" si="48"/>
        <v>-3.9</v>
      </c>
      <c r="J173" s="28">
        <f t="shared" si="49"/>
        <v>68.42</v>
      </c>
      <c r="K173" s="28">
        <f t="shared" si="50"/>
        <v>-14.23</v>
      </c>
      <c r="L173" s="28">
        <f t="shared" si="51"/>
        <v>0</v>
      </c>
      <c r="M173" s="28" t="str">
        <f t="shared" si="52"/>
        <v>******</v>
      </c>
    </row>
    <row r="174" spans="1:13" x14ac:dyDescent="0.2">
      <c r="A174" s="29" t="s">
        <v>710</v>
      </c>
      <c r="B174" s="27">
        <f t="shared" si="44"/>
        <v>94935457</v>
      </c>
      <c r="C174" s="27">
        <f t="shared" si="44"/>
        <v>5806497</v>
      </c>
      <c r="D174" s="27">
        <f t="shared" si="44"/>
        <v>0</v>
      </c>
      <c r="E174" s="27">
        <f t="shared" si="44"/>
        <v>6185001270</v>
      </c>
      <c r="F174" s="28">
        <f t="shared" si="45"/>
        <v>6.12</v>
      </c>
      <c r="G174" s="28">
        <f t="shared" si="46"/>
        <v>-12.57</v>
      </c>
      <c r="H174" s="27">
        <f t="shared" si="47"/>
        <v>1065</v>
      </c>
      <c r="I174" s="28">
        <f t="shared" si="48"/>
        <v>-9.2799999999999994</v>
      </c>
      <c r="J174" s="28">
        <f t="shared" si="49"/>
        <v>65.150000000000006</v>
      </c>
      <c r="K174" s="28">
        <f t="shared" si="50"/>
        <v>-20.77</v>
      </c>
      <c r="L174" s="28">
        <f t="shared" si="51"/>
        <v>0</v>
      </c>
      <c r="M174" s="28" t="str">
        <f t="shared" si="52"/>
        <v>******</v>
      </c>
    </row>
    <row r="175" spans="1:13" x14ac:dyDescent="0.2">
      <c r="A175" s="29" t="s">
        <v>711</v>
      </c>
      <c r="B175" s="27">
        <f t="shared" si="44"/>
        <v>95325741</v>
      </c>
      <c r="C175" s="27">
        <f t="shared" si="44"/>
        <v>5805802</v>
      </c>
      <c r="D175" s="27">
        <f t="shared" si="44"/>
        <v>0</v>
      </c>
      <c r="E175" s="27">
        <f t="shared" si="44"/>
        <v>6223695819</v>
      </c>
      <c r="F175" s="28">
        <f t="shared" si="45"/>
        <v>6.09</v>
      </c>
      <c r="G175" s="28">
        <f t="shared" si="46"/>
        <v>-10.18</v>
      </c>
      <c r="H175" s="27">
        <f t="shared" si="47"/>
        <v>1072</v>
      </c>
      <c r="I175" s="28">
        <f t="shared" si="48"/>
        <v>-9</v>
      </c>
      <c r="J175" s="28">
        <f t="shared" si="49"/>
        <v>65.290000000000006</v>
      </c>
      <c r="K175" s="28">
        <f t="shared" si="50"/>
        <v>-18.22</v>
      </c>
      <c r="L175" s="28">
        <f t="shared" si="51"/>
        <v>0</v>
      </c>
      <c r="M175" s="28" t="str">
        <f t="shared" si="52"/>
        <v>******</v>
      </c>
    </row>
    <row r="176" spans="1:13" x14ac:dyDescent="0.2">
      <c r="A176" s="29" t="s">
        <v>712</v>
      </c>
      <c r="B176" s="27">
        <f t="shared" si="44"/>
        <v>95713949</v>
      </c>
      <c r="C176" s="27">
        <f t="shared" si="44"/>
        <v>5785267</v>
      </c>
      <c r="D176" s="27">
        <f t="shared" si="44"/>
        <v>0</v>
      </c>
      <c r="E176" s="27">
        <f t="shared" si="44"/>
        <v>6181871307</v>
      </c>
      <c r="F176" s="28">
        <f t="shared" si="45"/>
        <v>6.04</v>
      </c>
      <c r="G176" s="28">
        <f t="shared" si="46"/>
        <v>-6.5</v>
      </c>
      <c r="H176" s="27">
        <f t="shared" si="47"/>
        <v>1069</v>
      </c>
      <c r="I176" s="28">
        <f t="shared" si="48"/>
        <v>-1.29</v>
      </c>
      <c r="J176" s="28">
        <f t="shared" si="49"/>
        <v>64.59</v>
      </c>
      <c r="K176" s="28">
        <f t="shared" si="50"/>
        <v>-7.7</v>
      </c>
      <c r="L176" s="28">
        <f t="shared" si="51"/>
        <v>0</v>
      </c>
      <c r="M176" s="28" t="str">
        <f t="shared" si="52"/>
        <v>******</v>
      </c>
    </row>
    <row r="177" spans="1:13" x14ac:dyDescent="0.2">
      <c r="A177" s="29" t="s">
        <v>713</v>
      </c>
      <c r="B177" s="27">
        <f t="shared" si="44"/>
        <v>96113731</v>
      </c>
      <c r="C177" s="27">
        <f t="shared" si="44"/>
        <v>5807296</v>
      </c>
      <c r="D177" s="27">
        <f t="shared" si="44"/>
        <v>0</v>
      </c>
      <c r="E177" s="27">
        <f t="shared" si="44"/>
        <v>6280823521</v>
      </c>
      <c r="F177" s="28">
        <f t="shared" si="45"/>
        <v>6.04</v>
      </c>
      <c r="G177" s="28">
        <f t="shared" si="46"/>
        <v>-4.13</v>
      </c>
      <c r="H177" s="27">
        <f t="shared" si="47"/>
        <v>1082</v>
      </c>
      <c r="I177" s="28">
        <f t="shared" si="48"/>
        <v>-0.28000000000000003</v>
      </c>
      <c r="J177" s="28">
        <f t="shared" si="49"/>
        <v>65.349999999999994</v>
      </c>
      <c r="K177" s="28">
        <f t="shared" si="50"/>
        <v>-4.49</v>
      </c>
      <c r="L177" s="28">
        <f t="shared" si="51"/>
        <v>0</v>
      </c>
      <c r="M177" s="28" t="str">
        <f t="shared" si="52"/>
        <v>******</v>
      </c>
    </row>
    <row r="178" spans="1:13" x14ac:dyDescent="0.2">
      <c r="A178" s="29" t="s">
        <v>714</v>
      </c>
      <c r="B178" s="27">
        <f t="shared" si="44"/>
        <v>96446191</v>
      </c>
      <c r="C178" s="27">
        <f t="shared" si="44"/>
        <v>5951796</v>
      </c>
      <c r="D178" s="27">
        <f t="shared" si="44"/>
        <v>0</v>
      </c>
      <c r="E178" s="27">
        <f t="shared" si="44"/>
        <v>6774352877</v>
      </c>
      <c r="F178" s="28">
        <f t="shared" si="45"/>
        <v>6.17</v>
      </c>
      <c r="G178" s="28">
        <f t="shared" si="46"/>
        <v>0.82</v>
      </c>
      <c r="H178" s="27">
        <f t="shared" si="47"/>
        <v>1138</v>
      </c>
      <c r="I178" s="28">
        <f t="shared" si="48"/>
        <v>6.85</v>
      </c>
      <c r="J178" s="28">
        <f t="shared" si="49"/>
        <v>70.239999999999995</v>
      </c>
      <c r="K178" s="28">
        <f t="shared" si="50"/>
        <v>7.81</v>
      </c>
      <c r="L178" s="28">
        <f t="shared" si="51"/>
        <v>0</v>
      </c>
      <c r="M178" s="28" t="str">
        <f t="shared" si="52"/>
        <v>******</v>
      </c>
    </row>
    <row r="179" spans="1:13" x14ac:dyDescent="0.2">
      <c r="A179" s="29" t="s">
        <v>715</v>
      </c>
      <c r="B179" s="27">
        <f t="shared" si="44"/>
        <v>96735723</v>
      </c>
      <c r="C179" s="27">
        <f t="shared" si="44"/>
        <v>5992141</v>
      </c>
      <c r="D179" s="27">
        <f t="shared" si="44"/>
        <v>0</v>
      </c>
      <c r="E179" s="27">
        <f t="shared" si="44"/>
        <v>7017002150</v>
      </c>
      <c r="F179" s="28">
        <f t="shared" si="45"/>
        <v>6.19</v>
      </c>
      <c r="G179" s="28">
        <f t="shared" si="46"/>
        <v>1.64</v>
      </c>
      <c r="H179" s="27">
        <f t="shared" si="47"/>
        <v>1171</v>
      </c>
      <c r="I179" s="28">
        <f t="shared" si="48"/>
        <v>9.24</v>
      </c>
      <c r="J179" s="28">
        <f t="shared" si="49"/>
        <v>72.540000000000006</v>
      </c>
      <c r="K179" s="28">
        <f t="shared" si="50"/>
        <v>11.1</v>
      </c>
      <c r="L179" s="28">
        <f t="shared" si="51"/>
        <v>0</v>
      </c>
      <c r="M179" s="28" t="str">
        <f t="shared" si="52"/>
        <v>******</v>
      </c>
    </row>
    <row r="180" spans="1:13" x14ac:dyDescent="0.2">
      <c r="A180" s="29" t="s">
        <v>716</v>
      </c>
      <c r="B180" s="27">
        <f t="shared" ref="B180:E181" si="53">SUM(B151:B154)</f>
        <v>96931039</v>
      </c>
      <c r="C180" s="27">
        <f t="shared" si="53"/>
        <v>5953885</v>
      </c>
      <c r="D180" s="27">
        <f t="shared" si="53"/>
        <v>0</v>
      </c>
      <c r="E180" s="27">
        <f t="shared" si="53"/>
        <v>7170261324</v>
      </c>
      <c r="F180" s="28">
        <f t="shared" si="45"/>
        <v>6.14</v>
      </c>
      <c r="G180" s="28">
        <f t="shared" si="46"/>
        <v>1.66</v>
      </c>
      <c r="H180" s="27">
        <f t="shared" si="47"/>
        <v>1204</v>
      </c>
      <c r="I180" s="28">
        <f t="shared" si="48"/>
        <v>12.63</v>
      </c>
      <c r="J180" s="28">
        <f t="shared" si="49"/>
        <v>73.97</v>
      </c>
      <c r="K180" s="28">
        <f t="shared" si="50"/>
        <v>14.52</v>
      </c>
      <c r="L180" s="28">
        <f t="shared" si="51"/>
        <v>0</v>
      </c>
      <c r="M180" s="28" t="str">
        <f t="shared" si="52"/>
        <v>******</v>
      </c>
    </row>
    <row r="181" spans="1:13" x14ac:dyDescent="0.2">
      <c r="A181" s="29" t="s">
        <v>717</v>
      </c>
      <c r="B181" s="27">
        <f t="shared" si="53"/>
        <v>96980532</v>
      </c>
      <c r="C181" s="27">
        <f t="shared" si="53"/>
        <v>5954635</v>
      </c>
      <c r="D181" s="27">
        <f t="shared" si="53"/>
        <v>0</v>
      </c>
      <c r="E181" s="27">
        <f t="shared" si="53"/>
        <v>7120885952</v>
      </c>
      <c r="F181" s="28">
        <f t="shared" si="45"/>
        <v>6.14</v>
      </c>
      <c r="G181" s="28">
        <f t="shared" si="46"/>
        <v>1.66</v>
      </c>
      <c r="H181" s="27">
        <f t="shared" si="47"/>
        <v>1196</v>
      </c>
      <c r="I181" s="28">
        <f t="shared" si="48"/>
        <v>10.54</v>
      </c>
      <c r="J181" s="28">
        <f t="shared" si="49"/>
        <v>73.430000000000007</v>
      </c>
      <c r="K181" s="28">
        <f t="shared" si="50"/>
        <v>12.36</v>
      </c>
      <c r="L181" s="28">
        <f t="shared" si="51"/>
        <v>0</v>
      </c>
      <c r="M181" s="28" t="str">
        <f t="shared" si="52"/>
        <v>******</v>
      </c>
    </row>
    <row r="182" spans="1:13" x14ac:dyDescent="0.2">
      <c r="A182" s="29" t="s">
        <v>718</v>
      </c>
    </row>
    <row r="183" spans="1:13" x14ac:dyDescent="0.2">
      <c r="A183" s="29" t="s">
        <v>719</v>
      </c>
    </row>
    <row r="187" spans="1:13" ht="13.5" x14ac:dyDescent="0.2">
      <c r="A187" s="26"/>
      <c r="B187" s="29"/>
      <c r="C187" s="70" t="s">
        <v>43</v>
      </c>
      <c r="D187" s="70"/>
      <c r="E187" s="70"/>
      <c r="F187" s="70"/>
      <c r="G187" s="70"/>
      <c r="H187" s="70"/>
      <c r="I187" s="70"/>
      <c r="J187" s="70"/>
      <c r="K187" s="70"/>
      <c r="L187" s="17"/>
      <c r="M187" s="17"/>
    </row>
    <row r="188" spans="1:13" x14ac:dyDescent="0.2">
      <c r="A188" s="37" t="s">
        <v>23</v>
      </c>
      <c r="B188" s="29"/>
      <c r="C188" s="70" t="s">
        <v>42</v>
      </c>
      <c r="D188" s="70"/>
      <c r="E188" s="70"/>
      <c r="F188" s="70"/>
      <c r="G188" s="70"/>
      <c r="H188" s="70"/>
      <c r="I188" s="70"/>
      <c r="J188" s="70"/>
      <c r="K188" s="70"/>
      <c r="L188" s="17"/>
      <c r="M188" s="17"/>
    </row>
    <row r="189" spans="1:13" x14ac:dyDescent="0.2">
      <c r="A189" s="34"/>
      <c r="B189" s="51"/>
      <c r="C189" s="15"/>
      <c r="D189" s="15"/>
      <c r="E189" s="15"/>
      <c r="F189" s="16"/>
      <c r="G189" s="16"/>
      <c r="H189" s="15"/>
      <c r="I189" s="16"/>
      <c r="J189" s="16"/>
      <c r="K189" s="16"/>
      <c r="L189" s="16"/>
      <c r="M189" s="16"/>
    </row>
    <row r="190" spans="1:13" x14ac:dyDescent="0.2">
      <c r="A190" s="17"/>
      <c r="C190" s="15" t="s">
        <v>732</v>
      </c>
      <c r="D190" s="15"/>
      <c r="E190" s="15"/>
      <c r="F190" s="16"/>
      <c r="G190" s="15" t="s">
        <v>736</v>
      </c>
      <c r="H190" s="15"/>
      <c r="I190" s="16"/>
      <c r="J190" s="16"/>
      <c r="K190" s="16"/>
      <c r="L190" s="16"/>
      <c r="M190" s="16"/>
    </row>
    <row r="191" spans="1:13" x14ac:dyDescent="0.2">
      <c r="A191" s="17"/>
      <c r="C191" s="15"/>
      <c r="D191" s="15"/>
      <c r="E191" s="15"/>
      <c r="F191" s="16"/>
      <c r="G191" s="16"/>
      <c r="H191" s="15"/>
      <c r="I191" s="16"/>
      <c r="J191" s="16"/>
      <c r="K191" s="16"/>
      <c r="L191" s="16"/>
      <c r="M191" s="16"/>
    </row>
    <row r="192" spans="1:13" x14ac:dyDescent="0.2">
      <c r="A192" s="18"/>
      <c r="B192" s="52"/>
      <c r="C192" s="19"/>
      <c r="D192" s="19"/>
      <c r="E192" s="19"/>
      <c r="F192" s="20"/>
      <c r="G192" s="20" t="s">
        <v>47</v>
      </c>
      <c r="H192" s="19"/>
      <c r="I192" s="20" t="s">
        <v>47</v>
      </c>
      <c r="J192" s="20"/>
      <c r="K192" s="20" t="s">
        <v>47</v>
      </c>
      <c r="L192" s="20"/>
      <c r="M192" s="20" t="s">
        <v>47</v>
      </c>
    </row>
    <row r="193" spans="1:13" x14ac:dyDescent="0.2">
      <c r="A193" s="17"/>
      <c r="B193" s="52"/>
      <c r="C193" s="19" t="s">
        <v>48</v>
      </c>
      <c r="D193" s="19" t="s">
        <v>48</v>
      </c>
      <c r="E193" s="19"/>
      <c r="F193" s="19" t="s">
        <v>7</v>
      </c>
      <c r="G193" s="20" t="s">
        <v>49</v>
      </c>
      <c r="H193" s="19" t="s">
        <v>7</v>
      </c>
      <c r="I193" s="20" t="s">
        <v>49</v>
      </c>
      <c r="J193" s="20"/>
      <c r="K193" s="20" t="s">
        <v>49</v>
      </c>
      <c r="L193" s="20" t="s">
        <v>8</v>
      </c>
      <c r="M193" s="20" t="s">
        <v>49</v>
      </c>
    </row>
    <row r="194" spans="1:13" x14ac:dyDescent="0.2">
      <c r="A194" s="47" t="s">
        <v>20</v>
      </c>
      <c r="B194" s="52" t="s">
        <v>50</v>
      </c>
      <c r="C194" s="19" t="s">
        <v>7</v>
      </c>
      <c r="D194" s="19" t="s">
        <v>51</v>
      </c>
      <c r="E194" s="19" t="s">
        <v>7</v>
      </c>
      <c r="F194" s="20" t="s">
        <v>11</v>
      </c>
      <c r="G194" s="20" t="s">
        <v>52</v>
      </c>
      <c r="H194" s="19" t="s">
        <v>11</v>
      </c>
      <c r="I194" s="20" t="s">
        <v>52</v>
      </c>
      <c r="J194" s="20" t="s">
        <v>10</v>
      </c>
      <c r="K194" s="20" t="s">
        <v>52</v>
      </c>
      <c r="L194" s="20" t="s">
        <v>11</v>
      </c>
      <c r="M194" s="20" t="s">
        <v>52</v>
      </c>
    </row>
    <row r="195" spans="1:13" x14ac:dyDescent="0.2">
      <c r="A195" s="48" t="s">
        <v>19</v>
      </c>
      <c r="B195" s="53" t="s">
        <v>53</v>
      </c>
      <c r="C195" s="49" t="s">
        <v>51</v>
      </c>
      <c r="D195" s="49" t="s">
        <v>8</v>
      </c>
      <c r="E195" s="49" t="s">
        <v>54</v>
      </c>
      <c r="F195" s="50" t="s">
        <v>13</v>
      </c>
      <c r="G195" s="50" t="s">
        <v>6</v>
      </c>
      <c r="H195" s="49" t="s">
        <v>22</v>
      </c>
      <c r="I195" s="50" t="s">
        <v>6</v>
      </c>
      <c r="J195" s="50" t="s">
        <v>55</v>
      </c>
      <c r="K195" s="50" t="s">
        <v>6</v>
      </c>
      <c r="L195" s="50" t="s">
        <v>13</v>
      </c>
      <c r="M195" s="50" t="s">
        <v>6</v>
      </c>
    </row>
    <row r="197" spans="1:13" x14ac:dyDescent="0.2">
      <c r="A197" s="29" t="s">
        <v>722</v>
      </c>
      <c r="B197" s="27">
        <f>VLOOKUP($A11&amp;"COLL"&amp;State2,Sheet5!$A$2:$I$295,2,FALSE)</f>
        <v>21213886</v>
      </c>
      <c r="C197" s="27">
        <f>VLOOKUP($A11&amp;"COLL"&amp;State2,Sheet5!$A$2:$I$295,3,FALSE)</f>
        <v>1423561</v>
      </c>
      <c r="D197" s="27">
        <f>VLOOKUP($A11&amp;"COLL"&amp;State2,Sheet5!$A$2:$I$295,4,FALSE)</f>
        <v>0</v>
      </c>
      <c r="E197" s="27">
        <f>VLOOKUP($A11&amp;"COLL"&amp;State2,Sheet5!$A$2:$I$295,5,FALSE)</f>
        <v>4097239784</v>
      </c>
      <c r="F197" s="28">
        <f>IF(B197=0,0,ROUND((C197/B197)*100,2))</f>
        <v>6.71</v>
      </c>
      <c r="G197" s="28" t="str">
        <f>IF(ISERR((F193-F197)/F193),"*****",ROUND(-((F193-F197)/F193)*100,2))</f>
        <v>*****</v>
      </c>
      <c r="H197" s="27">
        <f>IF(C197=0,0,ROUND(E197/C197,0))</f>
        <v>2878</v>
      </c>
      <c r="I197" s="28" t="str">
        <f>IF(ISERR((H193-H197)/H193),"******",ROUND(-((H193-H197)/H193)*100,2))</f>
        <v>******</v>
      </c>
      <c r="J197" s="28">
        <f>IF(B197=0,0,ROUND(E197/B197,2))</f>
        <v>193.14</v>
      </c>
      <c r="K197" s="28" t="str">
        <f>IF(ISERR((J193-J197)/J193),"******",ROUND(-((J193-J197)/J193)*100,2))</f>
        <v>******</v>
      </c>
      <c r="L197" s="28">
        <f>IF(B197=0,0,ROUND((D197/B197)*100,2))</f>
        <v>0</v>
      </c>
      <c r="M197" s="28" t="str">
        <f>IF(ISERR((L193-L197)/L193),"******",ROUND(-((L193-L197)/L193)*100,2))</f>
        <v>******</v>
      </c>
    </row>
    <row r="198" spans="1:13" x14ac:dyDescent="0.2">
      <c r="A198" s="29" t="s">
        <v>723</v>
      </c>
      <c r="B198" s="27">
        <f>VLOOKUP($A12&amp;"COLL"&amp;State2,Sheet5!$A$2:$I$295,2,FALSE)</f>
        <v>21554061</v>
      </c>
      <c r="C198" s="27">
        <f>VLOOKUP($A12&amp;"COLL"&amp;State2,Sheet5!$A$2:$I$295,3,FALSE)</f>
        <v>1258708</v>
      </c>
      <c r="D198" s="27">
        <f>VLOOKUP($A12&amp;"COLL"&amp;State2,Sheet5!$A$2:$I$295,4,FALSE)</f>
        <v>0</v>
      </c>
      <c r="E198" s="27">
        <f>VLOOKUP($A12&amp;"COLL"&amp;State2,Sheet5!$A$2:$I$295,5,FALSE)</f>
        <v>3310145216</v>
      </c>
      <c r="F198" s="28">
        <f t="shared" ref="F198:F217" si="54">IF(B198=0,0,ROUND((C198/B198)*100,2))</f>
        <v>5.84</v>
      </c>
      <c r="G198" s="28" t="str">
        <f t="shared" ref="G198:G217" si="55">IF(ISERR((F194-F198)/F194),"*****",ROUND(-((F194-F198)/F194)*100,2))</f>
        <v>*****</v>
      </c>
      <c r="H198" s="27">
        <f t="shared" ref="H198:H217" si="56">IF(C198=0,0,ROUND(E198/C198,0))</f>
        <v>2630</v>
      </c>
      <c r="I198" s="28" t="str">
        <f t="shared" ref="I198:I217" si="57">IF(ISERR((H194-H198)/H194),"******",ROUND(-((H194-H198)/H194)*100,2))</f>
        <v>******</v>
      </c>
      <c r="J198" s="28">
        <f t="shared" ref="J198:J217" si="58">IF(B198=0,0,ROUND(E198/B198,2))</f>
        <v>153.57</v>
      </c>
      <c r="K198" s="28" t="str">
        <f t="shared" ref="K198:K217" si="59">IF(ISERR((J194-J198)/J194),"******",ROUND(-((J194-J198)/J194)*100,2))</f>
        <v>******</v>
      </c>
      <c r="L198" s="28">
        <f t="shared" ref="L198:L217" si="60">IF(B198=0,0,ROUND((D198/B198)*100,2))</f>
        <v>0</v>
      </c>
      <c r="M198" s="28" t="str">
        <f t="shared" ref="M198:M217" si="61">IF(ISERR((L194-L198)/L194),"******",ROUND(-((L194-L198)/L194)*100,2))</f>
        <v>******</v>
      </c>
    </row>
    <row r="199" spans="1:13" x14ac:dyDescent="0.2">
      <c r="A199" s="29" t="s">
        <v>724</v>
      </c>
      <c r="B199" s="27">
        <f>VLOOKUP($A13&amp;"COLL"&amp;State2,Sheet5!$A$2:$I$295,2,FALSE)</f>
        <v>21676368</v>
      </c>
      <c r="C199" s="27">
        <f>VLOOKUP($A13&amp;"COLL"&amp;State2,Sheet5!$A$2:$I$295,3,FALSE)</f>
        <v>1260917</v>
      </c>
      <c r="D199" s="27">
        <f>VLOOKUP($A13&amp;"COLL"&amp;State2,Sheet5!$A$2:$I$295,4,FALSE)</f>
        <v>0</v>
      </c>
      <c r="E199" s="27">
        <f>VLOOKUP($A13&amp;"COLL"&amp;State2,Sheet5!$A$2:$I$295,5,FALSE)</f>
        <v>3482595271</v>
      </c>
      <c r="F199" s="28">
        <f t="shared" si="54"/>
        <v>5.82</v>
      </c>
      <c r="G199" s="28" t="str">
        <f t="shared" si="55"/>
        <v>*****</v>
      </c>
      <c r="H199" s="27">
        <f t="shared" si="56"/>
        <v>2762</v>
      </c>
      <c r="I199" s="28" t="str">
        <f t="shared" si="57"/>
        <v>******</v>
      </c>
      <c r="J199" s="28">
        <f t="shared" si="58"/>
        <v>160.66</v>
      </c>
      <c r="K199" s="28" t="str">
        <f t="shared" si="59"/>
        <v>******</v>
      </c>
      <c r="L199" s="28">
        <f t="shared" si="60"/>
        <v>0</v>
      </c>
      <c r="M199" s="28" t="str">
        <f t="shared" si="61"/>
        <v>******</v>
      </c>
    </row>
    <row r="200" spans="1:13" x14ac:dyDescent="0.2">
      <c r="A200" s="29" t="s">
        <v>700</v>
      </c>
      <c r="B200" s="27">
        <f>VLOOKUP($A14&amp;"COLL"&amp;State2,Sheet5!$A$2:$I$295,2,FALSE)</f>
        <v>21661675</v>
      </c>
      <c r="C200" s="27">
        <f>VLOOKUP($A14&amp;"COLL"&amp;State2,Sheet5!$A$2:$I$295,3,FALSE)</f>
        <v>1259161</v>
      </c>
      <c r="D200" s="27">
        <f>VLOOKUP($A14&amp;"COLL"&amp;State2,Sheet5!$A$2:$I$295,4,FALSE)</f>
        <v>0</v>
      </c>
      <c r="E200" s="27">
        <f>VLOOKUP($A14&amp;"COLL"&amp;State2,Sheet5!$A$2:$I$295,5,FALSE)</f>
        <v>3633444933</v>
      </c>
      <c r="F200" s="28">
        <f t="shared" si="54"/>
        <v>5.81</v>
      </c>
      <c r="G200" s="28" t="str">
        <f t="shared" si="55"/>
        <v>*****</v>
      </c>
      <c r="H200" s="27">
        <f t="shared" si="56"/>
        <v>2886</v>
      </c>
      <c r="I200" s="28" t="str">
        <f t="shared" si="57"/>
        <v>******</v>
      </c>
      <c r="J200" s="28">
        <f t="shared" si="58"/>
        <v>167.74</v>
      </c>
      <c r="K200" s="28" t="str">
        <f t="shared" si="59"/>
        <v>******</v>
      </c>
      <c r="L200" s="28">
        <f t="shared" si="60"/>
        <v>0</v>
      </c>
      <c r="M200" s="28" t="str">
        <f t="shared" si="61"/>
        <v>******</v>
      </c>
    </row>
    <row r="201" spans="1:13" x14ac:dyDescent="0.2">
      <c r="A201" s="29" t="s">
        <v>701</v>
      </c>
      <c r="B201" s="27">
        <f>VLOOKUP($A15&amp;"COLL"&amp;State2,Sheet5!$A$2:$I$295,2,FALSE)</f>
        <v>21659245</v>
      </c>
      <c r="C201" s="27">
        <f>VLOOKUP($A15&amp;"COLL"&amp;State2,Sheet5!$A$2:$I$295,3,FALSE)</f>
        <v>1397660</v>
      </c>
      <c r="D201" s="27">
        <f>VLOOKUP($A15&amp;"COLL"&amp;State2,Sheet5!$A$2:$I$295,4,FALSE)</f>
        <v>0</v>
      </c>
      <c r="E201" s="27">
        <f>VLOOKUP($A15&amp;"COLL"&amp;State2,Sheet5!$A$2:$I$295,5,FALSE)</f>
        <v>4203922293</v>
      </c>
      <c r="F201" s="28">
        <f t="shared" si="54"/>
        <v>6.45</v>
      </c>
      <c r="G201" s="28">
        <f t="shared" si="55"/>
        <v>-3.87</v>
      </c>
      <c r="H201" s="27">
        <f t="shared" si="56"/>
        <v>3008</v>
      </c>
      <c r="I201" s="28">
        <f t="shared" si="57"/>
        <v>4.5199999999999996</v>
      </c>
      <c r="J201" s="28">
        <f t="shared" si="58"/>
        <v>194.09</v>
      </c>
      <c r="K201" s="28">
        <f t="shared" si="59"/>
        <v>0.49</v>
      </c>
      <c r="L201" s="28">
        <f t="shared" si="60"/>
        <v>0</v>
      </c>
      <c r="M201" s="28" t="str">
        <f t="shared" si="61"/>
        <v>******</v>
      </c>
    </row>
    <row r="202" spans="1:13" x14ac:dyDescent="0.2">
      <c r="A202" s="29" t="s">
        <v>702</v>
      </c>
      <c r="B202" s="27">
        <f>VLOOKUP($A16&amp;"COLL"&amp;State2,Sheet5!$A$2:$I$295,2,FALSE)</f>
        <v>21915333</v>
      </c>
      <c r="C202" s="27">
        <f>VLOOKUP($A16&amp;"COLL"&amp;State2,Sheet5!$A$2:$I$295,3,FALSE)</f>
        <v>1271860</v>
      </c>
      <c r="D202" s="27">
        <f>VLOOKUP($A16&amp;"COLL"&amp;State2,Sheet5!$A$2:$I$295,4,FALSE)</f>
        <v>0</v>
      </c>
      <c r="E202" s="27">
        <f>VLOOKUP($A16&amp;"COLL"&amp;State2,Sheet5!$A$2:$I$295,5,FALSE)</f>
        <v>3515569603</v>
      </c>
      <c r="F202" s="28">
        <f t="shared" si="54"/>
        <v>5.8</v>
      </c>
      <c r="G202" s="28">
        <f t="shared" si="55"/>
        <v>-0.68</v>
      </c>
      <c r="H202" s="27">
        <f t="shared" si="56"/>
        <v>2764</v>
      </c>
      <c r="I202" s="28">
        <f t="shared" si="57"/>
        <v>5.0999999999999996</v>
      </c>
      <c r="J202" s="28">
        <f t="shared" si="58"/>
        <v>160.41999999999999</v>
      </c>
      <c r="K202" s="28">
        <f t="shared" si="59"/>
        <v>4.46</v>
      </c>
      <c r="L202" s="28">
        <f t="shared" si="60"/>
        <v>0</v>
      </c>
      <c r="M202" s="28" t="str">
        <f t="shared" si="61"/>
        <v>******</v>
      </c>
    </row>
    <row r="203" spans="1:13" x14ac:dyDescent="0.2">
      <c r="A203" s="29" t="s">
        <v>703</v>
      </c>
      <c r="B203" s="27">
        <f>VLOOKUP($A17&amp;"COLL"&amp;State2,Sheet5!$A$2:$I$295,2,FALSE)</f>
        <v>22091650</v>
      </c>
      <c r="C203" s="27">
        <f>VLOOKUP($A17&amp;"COLL"&amp;State2,Sheet5!$A$2:$I$295,3,FALSE)</f>
        <v>1276133</v>
      </c>
      <c r="D203" s="27">
        <f>VLOOKUP($A17&amp;"COLL"&amp;State2,Sheet5!$A$2:$I$295,4,FALSE)</f>
        <v>0</v>
      </c>
      <c r="E203" s="27">
        <f>VLOOKUP($A17&amp;"COLL"&amp;State2,Sheet5!$A$2:$I$295,5,FALSE)</f>
        <v>3588752326</v>
      </c>
      <c r="F203" s="28">
        <f t="shared" si="54"/>
        <v>5.78</v>
      </c>
      <c r="G203" s="28">
        <f t="shared" si="55"/>
        <v>-0.69</v>
      </c>
      <c r="H203" s="27">
        <f t="shared" si="56"/>
        <v>2812</v>
      </c>
      <c r="I203" s="28">
        <f t="shared" si="57"/>
        <v>1.81</v>
      </c>
      <c r="J203" s="28">
        <f t="shared" si="58"/>
        <v>162.44999999999999</v>
      </c>
      <c r="K203" s="28">
        <f t="shared" si="59"/>
        <v>1.1100000000000001</v>
      </c>
      <c r="L203" s="28">
        <f t="shared" si="60"/>
        <v>0</v>
      </c>
      <c r="M203" s="28" t="str">
        <f t="shared" si="61"/>
        <v>******</v>
      </c>
    </row>
    <row r="204" spans="1:13" x14ac:dyDescent="0.2">
      <c r="A204" s="29" t="s">
        <v>704</v>
      </c>
      <c r="B204" s="27">
        <f>VLOOKUP($A18&amp;"COLL"&amp;State2,Sheet5!$A$2:$I$295,2,FALSE)</f>
        <v>22083615</v>
      </c>
      <c r="C204" s="27">
        <f>VLOOKUP($A18&amp;"COLL"&amp;State2,Sheet5!$A$2:$I$295,3,FALSE)</f>
        <v>1262570</v>
      </c>
      <c r="D204" s="27">
        <f>VLOOKUP($A18&amp;"COLL"&amp;State2,Sheet5!$A$2:$I$295,4,FALSE)</f>
        <v>0</v>
      </c>
      <c r="E204" s="27">
        <f>VLOOKUP($A18&amp;"COLL"&amp;State2,Sheet5!$A$2:$I$295,5,FALSE)</f>
        <v>3789248601</v>
      </c>
      <c r="F204" s="28">
        <f t="shared" si="54"/>
        <v>5.72</v>
      </c>
      <c r="G204" s="28">
        <f t="shared" si="55"/>
        <v>-1.55</v>
      </c>
      <c r="H204" s="27">
        <f t="shared" si="56"/>
        <v>3001</v>
      </c>
      <c r="I204" s="28">
        <f t="shared" si="57"/>
        <v>3.98</v>
      </c>
      <c r="J204" s="28">
        <f t="shared" si="58"/>
        <v>171.59</v>
      </c>
      <c r="K204" s="28">
        <f t="shared" si="59"/>
        <v>2.2999999999999998</v>
      </c>
      <c r="L204" s="28">
        <f t="shared" si="60"/>
        <v>0</v>
      </c>
      <c r="M204" s="28" t="str">
        <f t="shared" si="61"/>
        <v>******</v>
      </c>
    </row>
    <row r="205" spans="1:13" x14ac:dyDescent="0.2">
      <c r="A205" s="29" t="s">
        <v>705</v>
      </c>
      <c r="B205" s="27">
        <f>VLOOKUP($A19&amp;"COLL"&amp;State2,Sheet5!$A$2:$I$295,2,FALSE)</f>
        <v>22081351</v>
      </c>
      <c r="C205" s="27">
        <f>VLOOKUP($A19&amp;"COLL"&amp;State2,Sheet5!$A$2:$I$295,3,FALSE)</f>
        <v>1353967</v>
      </c>
      <c r="D205" s="27">
        <f>VLOOKUP($A19&amp;"COLL"&amp;State2,Sheet5!$A$2:$I$295,4,FALSE)</f>
        <v>0</v>
      </c>
      <c r="E205" s="27">
        <f>VLOOKUP($A19&amp;"COLL"&amp;State2,Sheet5!$A$2:$I$295,5,FALSE)</f>
        <v>4201261216</v>
      </c>
      <c r="F205" s="28">
        <f t="shared" si="54"/>
        <v>6.13</v>
      </c>
      <c r="G205" s="28">
        <f t="shared" si="55"/>
        <v>-4.96</v>
      </c>
      <c r="H205" s="27">
        <f t="shared" si="56"/>
        <v>3103</v>
      </c>
      <c r="I205" s="28">
        <f t="shared" si="57"/>
        <v>3.16</v>
      </c>
      <c r="J205" s="28">
        <f t="shared" si="58"/>
        <v>190.26</v>
      </c>
      <c r="K205" s="28">
        <f t="shared" si="59"/>
        <v>-1.97</v>
      </c>
      <c r="L205" s="28">
        <f t="shared" si="60"/>
        <v>0</v>
      </c>
      <c r="M205" s="28" t="str">
        <f t="shared" si="61"/>
        <v>******</v>
      </c>
    </row>
    <row r="206" spans="1:13" x14ac:dyDescent="0.2">
      <c r="A206" s="29" t="s">
        <v>706</v>
      </c>
      <c r="B206" s="27">
        <f>VLOOKUP($A20&amp;"COLL"&amp;State2,Sheet5!$A$2:$I$295,2,FALSE)</f>
        <v>22371687</v>
      </c>
      <c r="C206" s="27">
        <f>VLOOKUP($A20&amp;"COLL"&amp;State2,Sheet5!$A$2:$I$295,3,FALSE)</f>
        <v>1241668</v>
      </c>
      <c r="D206" s="27">
        <f>VLOOKUP($A20&amp;"COLL"&amp;State2,Sheet5!$A$2:$I$295,4,FALSE)</f>
        <v>0</v>
      </c>
      <c r="E206" s="27">
        <f>VLOOKUP($A20&amp;"COLL"&amp;State2,Sheet5!$A$2:$I$295,5,FALSE)</f>
        <v>3568780618</v>
      </c>
      <c r="F206" s="28">
        <f t="shared" si="54"/>
        <v>5.55</v>
      </c>
      <c r="G206" s="28">
        <f t="shared" si="55"/>
        <v>-4.3099999999999996</v>
      </c>
      <c r="H206" s="27">
        <f t="shared" si="56"/>
        <v>2874</v>
      </c>
      <c r="I206" s="28">
        <f t="shared" si="57"/>
        <v>3.98</v>
      </c>
      <c r="J206" s="28">
        <f t="shared" si="58"/>
        <v>159.52000000000001</v>
      </c>
      <c r="K206" s="28">
        <f t="shared" si="59"/>
        <v>-0.56000000000000005</v>
      </c>
      <c r="L206" s="28">
        <f t="shared" si="60"/>
        <v>0</v>
      </c>
      <c r="M206" s="28" t="str">
        <f t="shared" si="61"/>
        <v>******</v>
      </c>
    </row>
    <row r="207" spans="1:13" x14ac:dyDescent="0.2">
      <c r="A207" s="29" t="s">
        <v>707</v>
      </c>
      <c r="B207" s="27">
        <f>VLOOKUP($A21&amp;"COLL"&amp;State2,Sheet5!$A$2:$I$295,2,FALSE)</f>
        <v>22518155</v>
      </c>
      <c r="C207" s="27">
        <f>VLOOKUP($A21&amp;"COLL"&amp;State2,Sheet5!$A$2:$I$295,3,FALSE)</f>
        <v>1252023</v>
      </c>
      <c r="D207" s="27">
        <f>VLOOKUP($A21&amp;"COLL"&amp;State2,Sheet5!$A$2:$I$295,4,FALSE)</f>
        <v>0</v>
      </c>
      <c r="E207" s="27">
        <f>VLOOKUP($A21&amp;"COLL"&amp;State2,Sheet5!$A$2:$I$295,5,FALSE)</f>
        <v>3639772090</v>
      </c>
      <c r="F207" s="28">
        <f t="shared" si="54"/>
        <v>5.56</v>
      </c>
      <c r="G207" s="28">
        <f t="shared" si="55"/>
        <v>-3.81</v>
      </c>
      <c r="H207" s="27">
        <f t="shared" si="56"/>
        <v>2907</v>
      </c>
      <c r="I207" s="28">
        <f t="shared" si="57"/>
        <v>3.38</v>
      </c>
      <c r="J207" s="28">
        <f t="shared" si="58"/>
        <v>161.63999999999999</v>
      </c>
      <c r="K207" s="28">
        <f t="shared" si="59"/>
        <v>-0.5</v>
      </c>
      <c r="L207" s="28">
        <f t="shared" si="60"/>
        <v>0</v>
      </c>
      <c r="M207" s="28" t="str">
        <f t="shared" si="61"/>
        <v>******</v>
      </c>
    </row>
    <row r="208" spans="1:13" x14ac:dyDescent="0.2">
      <c r="A208" s="29" t="s">
        <v>708</v>
      </c>
      <c r="B208" s="27">
        <f>VLOOKUP($A22&amp;"COLL"&amp;State2,Sheet5!$A$2:$I$295,2,FALSE)</f>
        <v>22496683</v>
      </c>
      <c r="C208" s="27">
        <f>VLOOKUP($A22&amp;"COLL"&amp;State2,Sheet5!$A$2:$I$295,3,FALSE)</f>
        <v>1270433</v>
      </c>
      <c r="D208" s="27">
        <f>VLOOKUP($A22&amp;"COLL"&amp;State2,Sheet5!$A$2:$I$295,4,FALSE)</f>
        <v>0</v>
      </c>
      <c r="E208" s="27">
        <f>VLOOKUP($A22&amp;"COLL"&amp;State2,Sheet5!$A$2:$I$295,5,FALSE)</f>
        <v>3883668218</v>
      </c>
      <c r="F208" s="28">
        <f t="shared" si="54"/>
        <v>5.65</v>
      </c>
      <c r="G208" s="28">
        <f t="shared" si="55"/>
        <v>-1.22</v>
      </c>
      <c r="H208" s="27">
        <f t="shared" si="56"/>
        <v>3057</v>
      </c>
      <c r="I208" s="28">
        <f t="shared" si="57"/>
        <v>1.87</v>
      </c>
      <c r="J208" s="28">
        <f t="shared" si="58"/>
        <v>172.63</v>
      </c>
      <c r="K208" s="28">
        <f t="shared" si="59"/>
        <v>0.61</v>
      </c>
      <c r="L208" s="28">
        <f t="shared" si="60"/>
        <v>0</v>
      </c>
      <c r="M208" s="28" t="str">
        <f t="shared" si="61"/>
        <v>******</v>
      </c>
    </row>
    <row r="209" spans="1:13" x14ac:dyDescent="0.2">
      <c r="A209" s="29" t="s">
        <v>709</v>
      </c>
      <c r="B209" s="27">
        <f>VLOOKUP($A23&amp;"COLL"&amp;State2,Sheet5!$A$2:$I$295,2,FALSE)</f>
        <v>22508657</v>
      </c>
      <c r="C209" s="27">
        <f>VLOOKUP($A23&amp;"COLL"&amp;State2,Sheet5!$A$2:$I$295,3,FALSE)</f>
        <v>1415679</v>
      </c>
      <c r="D209" s="27">
        <f>VLOOKUP($A23&amp;"COLL"&amp;State2,Sheet5!$A$2:$I$295,4,FALSE)</f>
        <v>0</v>
      </c>
      <c r="E209" s="27">
        <f>VLOOKUP($A23&amp;"COLL"&amp;State2,Sheet5!$A$2:$I$295,5,FALSE)</f>
        <v>4403181414</v>
      </c>
      <c r="F209" s="28">
        <f t="shared" si="54"/>
        <v>6.29</v>
      </c>
      <c r="G209" s="28">
        <f t="shared" si="55"/>
        <v>2.61</v>
      </c>
      <c r="H209" s="27">
        <f t="shared" si="56"/>
        <v>3110</v>
      </c>
      <c r="I209" s="28">
        <f t="shared" si="57"/>
        <v>0.23</v>
      </c>
      <c r="J209" s="28">
        <f t="shared" si="58"/>
        <v>195.62</v>
      </c>
      <c r="K209" s="28">
        <f t="shared" si="59"/>
        <v>2.82</v>
      </c>
      <c r="L209" s="28">
        <f t="shared" si="60"/>
        <v>0</v>
      </c>
      <c r="M209" s="28" t="str">
        <f t="shared" si="61"/>
        <v>******</v>
      </c>
    </row>
    <row r="210" spans="1:13" x14ac:dyDescent="0.2">
      <c r="A210" s="29" t="s">
        <v>710</v>
      </c>
      <c r="B210" s="27">
        <f>VLOOKUP($A24&amp;"COLL"&amp;State2,Sheet5!$A$2:$I$295,2,FALSE)</f>
        <v>22796619</v>
      </c>
      <c r="C210" s="27">
        <f>VLOOKUP($A24&amp;"COLL"&amp;State2,Sheet5!$A$2:$I$295,3,FALSE)</f>
        <v>1304540</v>
      </c>
      <c r="D210" s="27">
        <f>VLOOKUP($A24&amp;"COLL"&amp;State2,Sheet5!$A$2:$I$295,4,FALSE)</f>
        <v>0</v>
      </c>
      <c r="E210" s="27">
        <f>VLOOKUP($A24&amp;"COLL"&amp;State2,Sheet5!$A$2:$I$295,5,FALSE)</f>
        <v>3734247213</v>
      </c>
      <c r="F210" s="28">
        <f t="shared" si="54"/>
        <v>5.72</v>
      </c>
      <c r="G210" s="28">
        <f t="shared" si="55"/>
        <v>3.06</v>
      </c>
      <c r="H210" s="27">
        <f t="shared" si="56"/>
        <v>2863</v>
      </c>
      <c r="I210" s="28">
        <f t="shared" si="57"/>
        <v>-0.38</v>
      </c>
      <c r="J210" s="28">
        <f t="shared" si="58"/>
        <v>163.81</v>
      </c>
      <c r="K210" s="28">
        <f t="shared" si="59"/>
        <v>2.69</v>
      </c>
      <c r="L210" s="28">
        <f t="shared" si="60"/>
        <v>0</v>
      </c>
      <c r="M210" s="28" t="str">
        <f t="shared" si="61"/>
        <v>******</v>
      </c>
    </row>
    <row r="211" spans="1:13" x14ac:dyDescent="0.2">
      <c r="A211" s="29" t="s">
        <v>711</v>
      </c>
      <c r="B211" s="27">
        <f>VLOOKUP($A25&amp;"COLL"&amp;State2,Sheet5!$A$2:$I$295,2,FALSE)</f>
        <v>22928488</v>
      </c>
      <c r="C211" s="27">
        <f>VLOOKUP($A25&amp;"COLL"&amp;State2,Sheet5!$A$2:$I$295,3,FALSE)</f>
        <v>1292409</v>
      </c>
      <c r="D211" s="27">
        <f>VLOOKUP($A25&amp;"COLL"&amp;State2,Sheet5!$A$2:$I$295,4,FALSE)</f>
        <v>0</v>
      </c>
      <c r="E211" s="27">
        <f>VLOOKUP($A25&amp;"COLL"&amp;State2,Sheet5!$A$2:$I$295,5,FALSE)</f>
        <v>3774113971</v>
      </c>
      <c r="F211" s="28">
        <f t="shared" si="54"/>
        <v>5.64</v>
      </c>
      <c r="G211" s="28">
        <f t="shared" si="55"/>
        <v>1.44</v>
      </c>
      <c r="H211" s="27">
        <f t="shared" si="56"/>
        <v>2920</v>
      </c>
      <c r="I211" s="28">
        <f t="shared" si="57"/>
        <v>0.45</v>
      </c>
      <c r="J211" s="28">
        <f t="shared" si="58"/>
        <v>164.6</v>
      </c>
      <c r="K211" s="28">
        <f t="shared" si="59"/>
        <v>1.83</v>
      </c>
      <c r="L211" s="28">
        <f t="shared" si="60"/>
        <v>0</v>
      </c>
      <c r="M211" s="28" t="str">
        <f t="shared" si="61"/>
        <v>******</v>
      </c>
    </row>
    <row r="212" spans="1:13" x14ac:dyDescent="0.2">
      <c r="A212" s="29" t="s">
        <v>712</v>
      </c>
      <c r="B212" s="27">
        <f>VLOOKUP($A26&amp;"COLL"&amp;State2,Sheet5!$A$2:$I$295,2,FALSE)</f>
        <v>22892170</v>
      </c>
      <c r="C212" s="27">
        <f>VLOOKUP($A26&amp;"COLL"&amp;State2,Sheet5!$A$2:$I$295,3,FALSE)</f>
        <v>1324389</v>
      </c>
      <c r="D212" s="27">
        <f>VLOOKUP($A26&amp;"COLL"&amp;State2,Sheet5!$A$2:$I$295,4,FALSE)</f>
        <v>0</v>
      </c>
      <c r="E212" s="27">
        <f>VLOOKUP($A26&amp;"COLL"&amp;State2,Sheet5!$A$2:$I$295,5,FALSE)</f>
        <v>4044878882</v>
      </c>
      <c r="F212" s="28">
        <f t="shared" si="54"/>
        <v>5.79</v>
      </c>
      <c r="G212" s="28">
        <f t="shared" si="55"/>
        <v>2.48</v>
      </c>
      <c r="H212" s="27">
        <f t="shared" si="56"/>
        <v>3054</v>
      </c>
      <c r="I212" s="28">
        <f t="shared" si="57"/>
        <v>-0.1</v>
      </c>
      <c r="J212" s="28">
        <f t="shared" si="58"/>
        <v>176.69</v>
      </c>
      <c r="K212" s="28">
        <f t="shared" si="59"/>
        <v>2.35</v>
      </c>
      <c r="L212" s="28">
        <f t="shared" si="60"/>
        <v>0</v>
      </c>
      <c r="M212" s="28" t="str">
        <f t="shared" si="61"/>
        <v>******</v>
      </c>
    </row>
    <row r="213" spans="1:13" x14ac:dyDescent="0.2">
      <c r="A213" s="29" t="s">
        <v>713</v>
      </c>
      <c r="B213" s="27">
        <f>VLOOKUP($A27&amp;"COLL"&amp;State2,Sheet5!$A$2:$I$295,2,FALSE)</f>
        <v>22901544</v>
      </c>
      <c r="C213" s="27">
        <f>VLOOKUP($A27&amp;"COLL"&amp;State2,Sheet5!$A$2:$I$295,3,FALSE)</f>
        <v>1442588</v>
      </c>
      <c r="D213" s="27">
        <f>VLOOKUP($A27&amp;"COLL"&amp;State2,Sheet5!$A$2:$I$295,4,FALSE)</f>
        <v>0</v>
      </c>
      <c r="E213" s="27">
        <f>VLOOKUP($A27&amp;"COLL"&amp;State2,Sheet5!$A$2:$I$295,5,FALSE)</f>
        <v>4615999083</v>
      </c>
      <c r="F213" s="28">
        <f t="shared" si="54"/>
        <v>6.3</v>
      </c>
      <c r="G213" s="28">
        <f t="shared" si="55"/>
        <v>0.16</v>
      </c>
      <c r="H213" s="27">
        <f t="shared" si="56"/>
        <v>3200</v>
      </c>
      <c r="I213" s="28">
        <f t="shared" si="57"/>
        <v>2.89</v>
      </c>
      <c r="J213" s="28">
        <f t="shared" si="58"/>
        <v>201.56</v>
      </c>
      <c r="K213" s="28">
        <f t="shared" si="59"/>
        <v>3.04</v>
      </c>
      <c r="L213" s="28">
        <f t="shared" si="60"/>
        <v>0</v>
      </c>
      <c r="M213" s="28" t="str">
        <f t="shared" si="61"/>
        <v>******</v>
      </c>
    </row>
    <row r="214" spans="1:13" x14ac:dyDescent="0.2">
      <c r="A214" s="29" t="s">
        <v>714</v>
      </c>
      <c r="B214" s="27">
        <f>VLOOKUP($A28&amp;"COLL"&amp;State2,Sheet5!$A$2:$I$295,2,FALSE)</f>
        <v>23118006</v>
      </c>
      <c r="C214" s="27">
        <f>VLOOKUP($A28&amp;"COLL"&amp;State2,Sheet5!$A$2:$I$295,3,FALSE)</f>
        <v>1298627</v>
      </c>
      <c r="D214" s="27">
        <f>VLOOKUP($A28&amp;"COLL"&amp;State2,Sheet5!$A$2:$I$295,4,FALSE)</f>
        <v>0</v>
      </c>
      <c r="E214" s="27">
        <f>VLOOKUP($A28&amp;"COLL"&amp;State2,Sheet5!$A$2:$I$295,5,FALSE)</f>
        <v>3681709886</v>
      </c>
      <c r="F214" s="28">
        <f t="shared" si="54"/>
        <v>5.62</v>
      </c>
      <c r="G214" s="28">
        <f t="shared" si="55"/>
        <v>-1.75</v>
      </c>
      <c r="H214" s="27">
        <f t="shared" si="56"/>
        <v>2835</v>
      </c>
      <c r="I214" s="28">
        <f t="shared" si="57"/>
        <v>-0.98</v>
      </c>
      <c r="J214" s="28">
        <f t="shared" si="58"/>
        <v>159.26</v>
      </c>
      <c r="K214" s="28">
        <f t="shared" si="59"/>
        <v>-2.78</v>
      </c>
      <c r="L214" s="28">
        <f t="shared" si="60"/>
        <v>0</v>
      </c>
      <c r="M214" s="28" t="str">
        <f t="shared" si="61"/>
        <v>******</v>
      </c>
    </row>
    <row r="215" spans="1:13" x14ac:dyDescent="0.2">
      <c r="A215" s="29" t="s">
        <v>715</v>
      </c>
      <c r="B215" s="27">
        <f>VLOOKUP($A29&amp;"COLL"&amp;State2,Sheet5!$A$2:$I$295,2,FALSE)</f>
        <v>23196936</v>
      </c>
      <c r="C215" s="27">
        <f>VLOOKUP($A29&amp;"COLL"&amp;State2,Sheet5!$A$2:$I$295,3,FALSE)</f>
        <v>1260910</v>
      </c>
      <c r="D215" s="27">
        <f>VLOOKUP($A29&amp;"COLL"&amp;State2,Sheet5!$A$2:$I$295,4,FALSE)</f>
        <v>0</v>
      </c>
      <c r="E215" s="27">
        <f>VLOOKUP($A29&amp;"COLL"&amp;State2,Sheet5!$A$2:$I$295,5,FALSE)</f>
        <v>3604982528</v>
      </c>
      <c r="F215" s="28">
        <f t="shared" si="54"/>
        <v>5.44</v>
      </c>
      <c r="G215" s="28">
        <f t="shared" si="55"/>
        <v>-3.55</v>
      </c>
      <c r="H215" s="27">
        <f t="shared" si="56"/>
        <v>2859</v>
      </c>
      <c r="I215" s="28">
        <f t="shared" si="57"/>
        <v>-2.09</v>
      </c>
      <c r="J215" s="28">
        <f t="shared" si="58"/>
        <v>155.41</v>
      </c>
      <c r="K215" s="28">
        <f t="shared" si="59"/>
        <v>-5.58</v>
      </c>
      <c r="L215" s="28">
        <f t="shared" si="60"/>
        <v>0</v>
      </c>
      <c r="M215" s="28" t="str">
        <f t="shared" si="61"/>
        <v>******</v>
      </c>
    </row>
    <row r="216" spans="1:13" x14ac:dyDescent="0.2">
      <c r="A216" s="29" t="s">
        <v>716</v>
      </c>
      <c r="B216" s="27">
        <f>VLOOKUP($A30&amp;"COLL"&amp;State2,Sheet5!$A$2:$I$295,2,FALSE)</f>
        <v>23055159</v>
      </c>
      <c r="C216" s="27">
        <f>VLOOKUP($A30&amp;"COLL"&amp;State2,Sheet5!$A$2:$I$295,3,FALSE)</f>
        <v>1262338</v>
      </c>
      <c r="D216" s="27">
        <f>VLOOKUP($A30&amp;"COLL"&amp;State2,Sheet5!$A$2:$I$295,4,FALSE)</f>
        <v>0</v>
      </c>
      <c r="E216" s="27">
        <f>VLOOKUP($A30&amp;"COLL"&amp;State2,Sheet5!$A$2:$I$295,5,FALSE)</f>
        <v>3913429448</v>
      </c>
      <c r="F216" s="28">
        <f t="shared" si="54"/>
        <v>5.48</v>
      </c>
      <c r="G216" s="28">
        <f t="shared" si="55"/>
        <v>-5.35</v>
      </c>
      <c r="H216" s="27">
        <f t="shared" si="56"/>
        <v>3100</v>
      </c>
      <c r="I216" s="28">
        <f t="shared" si="57"/>
        <v>1.51</v>
      </c>
      <c r="J216" s="28">
        <f t="shared" si="58"/>
        <v>169.74</v>
      </c>
      <c r="K216" s="28">
        <f t="shared" si="59"/>
        <v>-3.93</v>
      </c>
      <c r="L216" s="28">
        <f t="shared" si="60"/>
        <v>0</v>
      </c>
      <c r="M216" s="28" t="str">
        <f t="shared" si="61"/>
        <v>******</v>
      </c>
    </row>
    <row r="217" spans="1:13" x14ac:dyDescent="0.2">
      <c r="A217" s="29" t="s">
        <v>717</v>
      </c>
      <c r="B217" s="27">
        <f>VLOOKUP($A31&amp;"COLL"&amp;State2,Sheet5!$A$2:$I$295,2,FALSE)</f>
        <v>22908815</v>
      </c>
      <c r="C217" s="27">
        <f>VLOOKUP($A31&amp;"COLL"&amp;State2,Sheet5!$A$2:$I$295,3,FALSE)</f>
        <v>1419623</v>
      </c>
      <c r="D217" s="27">
        <f>VLOOKUP($A31&amp;"COLL"&amp;State2,Sheet5!$A$2:$I$295,4,FALSE)</f>
        <v>0</v>
      </c>
      <c r="E217" s="27">
        <f>VLOOKUP($A31&amp;"COLL"&amp;State2,Sheet5!$A$2:$I$295,5,FALSE)</f>
        <v>4414462320</v>
      </c>
      <c r="F217" s="28">
        <f t="shared" si="54"/>
        <v>6.2</v>
      </c>
      <c r="G217" s="28">
        <f t="shared" si="55"/>
        <v>-1.59</v>
      </c>
      <c r="H217" s="27">
        <f t="shared" si="56"/>
        <v>3110</v>
      </c>
      <c r="I217" s="28">
        <f t="shared" si="57"/>
        <v>-2.81</v>
      </c>
      <c r="J217" s="28">
        <f t="shared" si="58"/>
        <v>192.7</v>
      </c>
      <c r="K217" s="28">
        <f t="shared" si="59"/>
        <v>-4.4000000000000004</v>
      </c>
      <c r="L217" s="28">
        <f t="shared" si="60"/>
        <v>0</v>
      </c>
      <c r="M217" s="28" t="str">
        <f t="shared" si="61"/>
        <v>******</v>
      </c>
    </row>
    <row r="218" spans="1:13" x14ac:dyDescent="0.2">
      <c r="A218" s="29" t="s">
        <v>718</v>
      </c>
    </row>
    <row r="219" spans="1:13" x14ac:dyDescent="0.2">
      <c r="A219" s="29" t="s">
        <v>719</v>
      </c>
    </row>
    <row r="221" spans="1:13" x14ac:dyDescent="0.2">
      <c r="A221" s="18"/>
      <c r="B221" s="52"/>
      <c r="C221" s="19"/>
      <c r="D221" s="19"/>
      <c r="E221" s="19"/>
      <c r="F221" s="20"/>
      <c r="G221" s="20" t="s">
        <v>47</v>
      </c>
      <c r="H221" s="19"/>
      <c r="I221" s="20" t="s">
        <v>47</v>
      </c>
      <c r="J221" s="20"/>
      <c r="K221" s="20" t="s">
        <v>47</v>
      </c>
      <c r="L221" s="20"/>
      <c r="M221" s="20" t="s">
        <v>47</v>
      </c>
    </row>
    <row r="222" spans="1:13" x14ac:dyDescent="0.2">
      <c r="A222" s="17"/>
      <c r="B222" s="52"/>
      <c r="C222" s="19" t="s">
        <v>48</v>
      </c>
      <c r="D222" s="19" t="s">
        <v>48</v>
      </c>
      <c r="E222" s="19"/>
      <c r="F222" s="19" t="s">
        <v>7</v>
      </c>
      <c r="G222" s="20" t="s">
        <v>49</v>
      </c>
      <c r="H222" s="19" t="s">
        <v>7</v>
      </c>
      <c r="I222" s="20" t="s">
        <v>49</v>
      </c>
      <c r="J222" s="20"/>
      <c r="K222" s="20" t="s">
        <v>49</v>
      </c>
      <c r="L222" s="20" t="s">
        <v>8</v>
      </c>
      <c r="M222" s="20" t="s">
        <v>49</v>
      </c>
    </row>
    <row r="223" spans="1:13" x14ac:dyDescent="0.2">
      <c r="A223" s="47" t="s">
        <v>726</v>
      </c>
      <c r="B223" s="52" t="s">
        <v>50</v>
      </c>
      <c r="C223" s="19" t="s">
        <v>7</v>
      </c>
      <c r="D223" s="19" t="s">
        <v>51</v>
      </c>
      <c r="E223" s="19" t="s">
        <v>7</v>
      </c>
      <c r="F223" s="20" t="s">
        <v>11</v>
      </c>
      <c r="G223" s="20" t="s">
        <v>52</v>
      </c>
      <c r="H223" s="19" t="s">
        <v>11</v>
      </c>
      <c r="I223" s="20" t="s">
        <v>52</v>
      </c>
      <c r="J223" s="20" t="s">
        <v>10</v>
      </c>
      <c r="K223" s="20" t="s">
        <v>52</v>
      </c>
      <c r="L223" s="20" t="s">
        <v>11</v>
      </c>
      <c r="M223" s="20" t="s">
        <v>52</v>
      </c>
    </row>
    <row r="224" spans="1:13" x14ac:dyDescent="0.2">
      <c r="A224" s="48" t="s">
        <v>19</v>
      </c>
      <c r="B224" s="53" t="s">
        <v>53</v>
      </c>
      <c r="C224" s="49" t="s">
        <v>51</v>
      </c>
      <c r="D224" s="49" t="s">
        <v>8</v>
      </c>
      <c r="E224" s="49" t="s">
        <v>54</v>
      </c>
      <c r="F224" s="50" t="s">
        <v>13</v>
      </c>
      <c r="G224" s="50" t="s">
        <v>6</v>
      </c>
      <c r="H224" s="49" t="s">
        <v>22</v>
      </c>
      <c r="I224" s="50" t="s">
        <v>6</v>
      </c>
      <c r="J224" s="50" t="s">
        <v>55</v>
      </c>
      <c r="K224" s="50" t="s">
        <v>6</v>
      </c>
      <c r="L224" s="50" t="s">
        <v>13</v>
      </c>
      <c r="M224" s="50" t="s">
        <v>6</v>
      </c>
    </row>
    <row r="226" spans="1:13" x14ac:dyDescent="0.2">
      <c r="A226" s="29" t="s">
        <v>700</v>
      </c>
      <c r="B226" s="27">
        <f t="shared" ref="B226:E241" si="62">SUM(B197:B200)</f>
        <v>86105990</v>
      </c>
      <c r="C226" s="27">
        <f t="shared" si="62"/>
        <v>5202347</v>
      </c>
      <c r="D226" s="27">
        <f t="shared" si="62"/>
        <v>0</v>
      </c>
      <c r="E226" s="27">
        <f t="shared" si="62"/>
        <v>14523425204</v>
      </c>
      <c r="F226" s="28">
        <f>IF(B226=0,0,ROUND((C226/B226)*100,2))</f>
        <v>6.04</v>
      </c>
      <c r="G226" s="28" t="str">
        <f>IF(ISERR((F222-F226)/F222),"*****",ROUND(-((F222-F226)/F222)*100,2))</f>
        <v>*****</v>
      </c>
      <c r="H226" s="27">
        <f>IF(C226=0,0,ROUND(E226/C226,0))</f>
        <v>2792</v>
      </c>
      <c r="I226" s="28" t="str">
        <f>IF(ISERR((H222-H226)/H222),"******",ROUND(-((H222-H226)/H222)*100,2))</f>
        <v>******</v>
      </c>
      <c r="J226" s="28">
        <f>IF(B226=0,0,ROUND(E226/B226,2))</f>
        <v>168.67</v>
      </c>
      <c r="K226" s="28" t="str">
        <f>IF(ISERR((J222-J226)/J222),"******",ROUND(-((J222-J226)/J222)*100,2))</f>
        <v>******</v>
      </c>
      <c r="L226" s="28">
        <f>IF(B226=0,0,ROUND((D226/B226)*100,2))</f>
        <v>0</v>
      </c>
      <c r="M226" s="28" t="str">
        <f>IF(ISERR((L222-L226)/L222),"******",ROUND(-((L222-L226)/L222)*100,2))</f>
        <v>******</v>
      </c>
    </row>
    <row r="227" spans="1:13" x14ac:dyDescent="0.2">
      <c r="A227" s="29" t="s">
        <v>701</v>
      </c>
      <c r="B227" s="27">
        <f t="shared" si="62"/>
        <v>86551349</v>
      </c>
      <c r="C227" s="27">
        <f t="shared" si="62"/>
        <v>5176446</v>
      </c>
      <c r="D227" s="27">
        <f t="shared" si="62"/>
        <v>0</v>
      </c>
      <c r="E227" s="27">
        <f t="shared" si="62"/>
        <v>14630107713</v>
      </c>
      <c r="F227" s="28">
        <f t="shared" ref="F227:F243" si="63">IF(B227=0,0,ROUND((C227/B227)*100,2))</f>
        <v>5.98</v>
      </c>
      <c r="G227" s="28" t="str">
        <f t="shared" ref="G227:G243" si="64">IF(ISERR((F223-F227)/F223),"*****",ROUND(-((F223-F227)/F223)*100,2))</f>
        <v>*****</v>
      </c>
      <c r="H227" s="27">
        <f t="shared" ref="H227:H243" si="65">IF(C227=0,0,ROUND(E227/C227,0))</f>
        <v>2826</v>
      </c>
      <c r="I227" s="28" t="str">
        <f t="shared" ref="I227:I243" si="66">IF(ISERR((H223-H227)/H223),"******",ROUND(-((H223-H227)/H223)*100,2))</f>
        <v>******</v>
      </c>
      <c r="J227" s="28">
        <f t="shared" ref="J227:J243" si="67">IF(B227=0,0,ROUND(E227/B227,2))</f>
        <v>169.03</v>
      </c>
      <c r="K227" s="28" t="str">
        <f t="shared" ref="K227:K243" si="68">IF(ISERR((J223-J227)/J223),"******",ROUND(-((J223-J227)/J223)*100,2))</f>
        <v>******</v>
      </c>
      <c r="L227" s="28">
        <f t="shared" ref="L227:L243" si="69">IF(B227=0,0,ROUND((D227/B227)*100,2))</f>
        <v>0</v>
      </c>
      <c r="M227" s="28" t="str">
        <f t="shared" ref="M227:M243" si="70">IF(ISERR((L223-L227)/L223),"******",ROUND(-((L223-L227)/L223)*100,2))</f>
        <v>******</v>
      </c>
    </row>
    <row r="228" spans="1:13" x14ac:dyDescent="0.2">
      <c r="A228" s="29" t="s">
        <v>702</v>
      </c>
      <c r="B228" s="27">
        <f t="shared" si="62"/>
        <v>86912621</v>
      </c>
      <c r="C228" s="27">
        <f t="shared" si="62"/>
        <v>5189598</v>
      </c>
      <c r="D228" s="27">
        <f t="shared" si="62"/>
        <v>0</v>
      </c>
      <c r="E228" s="27">
        <f t="shared" si="62"/>
        <v>14835532100</v>
      </c>
      <c r="F228" s="28">
        <f t="shared" si="63"/>
        <v>5.97</v>
      </c>
      <c r="G228" s="28" t="str">
        <f t="shared" si="64"/>
        <v>*****</v>
      </c>
      <c r="H228" s="27">
        <f t="shared" si="65"/>
        <v>2859</v>
      </c>
      <c r="I228" s="28" t="str">
        <f t="shared" si="66"/>
        <v>******</v>
      </c>
      <c r="J228" s="28">
        <f t="shared" si="67"/>
        <v>170.69</v>
      </c>
      <c r="K228" s="28" t="str">
        <f t="shared" si="68"/>
        <v>******</v>
      </c>
      <c r="L228" s="28">
        <f t="shared" si="69"/>
        <v>0</v>
      </c>
      <c r="M228" s="28" t="str">
        <f t="shared" si="70"/>
        <v>******</v>
      </c>
    </row>
    <row r="229" spans="1:13" x14ac:dyDescent="0.2">
      <c r="A229" s="29" t="s">
        <v>703</v>
      </c>
      <c r="B229" s="27">
        <f t="shared" si="62"/>
        <v>87327903</v>
      </c>
      <c r="C229" s="27">
        <f t="shared" si="62"/>
        <v>5204814</v>
      </c>
      <c r="D229" s="27">
        <f t="shared" si="62"/>
        <v>0</v>
      </c>
      <c r="E229" s="27">
        <f t="shared" si="62"/>
        <v>14941689155</v>
      </c>
      <c r="F229" s="28">
        <f t="shared" si="63"/>
        <v>5.96</v>
      </c>
      <c r="G229" s="28" t="str">
        <f t="shared" si="64"/>
        <v>*****</v>
      </c>
      <c r="H229" s="27">
        <f t="shared" si="65"/>
        <v>2871</v>
      </c>
      <c r="I229" s="28" t="str">
        <f t="shared" si="66"/>
        <v>******</v>
      </c>
      <c r="J229" s="28">
        <f t="shared" si="67"/>
        <v>171.1</v>
      </c>
      <c r="K229" s="28" t="str">
        <f t="shared" si="68"/>
        <v>******</v>
      </c>
      <c r="L229" s="28">
        <f t="shared" si="69"/>
        <v>0</v>
      </c>
      <c r="M229" s="28" t="str">
        <f t="shared" si="70"/>
        <v>******</v>
      </c>
    </row>
    <row r="230" spans="1:13" x14ac:dyDescent="0.2">
      <c r="A230" s="29" t="s">
        <v>704</v>
      </c>
      <c r="B230" s="27">
        <f t="shared" si="62"/>
        <v>87749843</v>
      </c>
      <c r="C230" s="27">
        <f t="shared" si="62"/>
        <v>5208223</v>
      </c>
      <c r="D230" s="27">
        <f t="shared" si="62"/>
        <v>0</v>
      </c>
      <c r="E230" s="27">
        <f t="shared" si="62"/>
        <v>15097492823</v>
      </c>
      <c r="F230" s="28">
        <f t="shared" si="63"/>
        <v>5.94</v>
      </c>
      <c r="G230" s="28">
        <f t="shared" si="64"/>
        <v>-1.66</v>
      </c>
      <c r="H230" s="27">
        <f t="shared" si="65"/>
        <v>2899</v>
      </c>
      <c r="I230" s="28">
        <f t="shared" si="66"/>
        <v>3.83</v>
      </c>
      <c r="J230" s="28">
        <f t="shared" si="67"/>
        <v>172.05</v>
      </c>
      <c r="K230" s="28">
        <f t="shared" si="68"/>
        <v>2</v>
      </c>
      <c r="L230" s="28">
        <f t="shared" si="69"/>
        <v>0</v>
      </c>
      <c r="M230" s="28" t="str">
        <f t="shared" si="70"/>
        <v>******</v>
      </c>
    </row>
    <row r="231" spans="1:13" x14ac:dyDescent="0.2">
      <c r="A231" s="29" t="s">
        <v>705</v>
      </c>
      <c r="B231" s="27">
        <f t="shared" si="62"/>
        <v>88171949</v>
      </c>
      <c r="C231" s="27">
        <f t="shared" si="62"/>
        <v>5164530</v>
      </c>
      <c r="D231" s="27">
        <f t="shared" si="62"/>
        <v>0</v>
      </c>
      <c r="E231" s="27">
        <f t="shared" si="62"/>
        <v>15094831746</v>
      </c>
      <c r="F231" s="28">
        <f t="shared" si="63"/>
        <v>5.86</v>
      </c>
      <c r="G231" s="28">
        <f t="shared" si="64"/>
        <v>-2.0099999999999998</v>
      </c>
      <c r="H231" s="27">
        <f t="shared" si="65"/>
        <v>2923</v>
      </c>
      <c r="I231" s="28">
        <f t="shared" si="66"/>
        <v>3.43</v>
      </c>
      <c r="J231" s="28">
        <f t="shared" si="67"/>
        <v>171.2</v>
      </c>
      <c r="K231" s="28">
        <f t="shared" si="68"/>
        <v>1.28</v>
      </c>
      <c r="L231" s="28">
        <f t="shared" si="69"/>
        <v>0</v>
      </c>
      <c r="M231" s="28" t="str">
        <f t="shared" si="70"/>
        <v>******</v>
      </c>
    </row>
    <row r="232" spans="1:13" x14ac:dyDescent="0.2">
      <c r="A232" s="29" t="s">
        <v>706</v>
      </c>
      <c r="B232" s="27">
        <f t="shared" si="62"/>
        <v>88628303</v>
      </c>
      <c r="C232" s="27">
        <f t="shared" si="62"/>
        <v>5134338</v>
      </c>
      <c r="D232" s="27">
        <f t="shared" si="62"/>
        <v>0</v>
      </c>
      <c r="E232" s="27">
        <f t="shared" si="62"/>
        <v>15148042761</v>
      </c>
      <c r="F232" s="28">
        <f t="shared" si="63"/>
        <v>5.79</v>
      </c>
      <c r="G232" s="28">
        <f t="shared" si="64"/>
        <v>-3.02</v>
      </c>
      <c r="H232" s="27">
        <f t="shared" si="65"/>
        <v>2950</v>
      </c>
      <c r="I232" s="28">
        <f t="shared" si="66"/>
        <v>3.18</v>
      </c>
      <c r="J232" s="28">
        <f t="shared" si="67"/>
        <v>170.92</v>
      </c>
      <c r="K232" s="28">
        <f t="shared" si="68"/>
        <v>0.13</v>
      </c>
      <c r="L232" s="28">
        <f t="shared" si="69"/>
        <v>0</v>
      </c>
      <c r="M232" s="28" t="str">
        <f t="shared" si="70"/>
        <v>******</v>
      </c>
    </row>
    <row r="233" spans="1:13" x14ac:dyDescent="0.2">
      <c r="A233" s="29" t="s">
        <v>707</v>
      </c>
      <c r="B233" s="27">
        <f t="shared" si="62"/>
        <v>89054808</v>
      </c>
      <c r="C233" s="27">
        <f t="shared" si="62"/>
        <v>5110228</v>
      </c>
      <c r="D233" s="27">
        <f t="shared" si="62"/>
        <v>0</v>
      </c>
      <c r="E233" s="27">
        <f t="shared" si="62"/>
        <v>15199062525</v>
      </c>
      <c r="F233" s="28">
        <f t="shared" si="63"/>
        <v>5.74</v>
      </c>
      <c r="G233" s="28">
        <f t="shared" si="64"/>
        <v>-3.69</v>
      </c>
      <c r="H233" s="27">
        <f t="shared" si="65"/>
        <v>2974</v>
      </c>
      <c r="I233" s="28">
        <f t="shared" si="66"/>
        <v>3.59</v>
      </c>
      <c r="J233" s="28">
        <f t="shared" si="67"/>
        <v>170.67</v>
      </c>
      <c r="K233" s="28">
        <f t="shared" si="68"/>
        <v>-0.25</v>
      </c>
      <c r="L233" s="28">
        <f t="shared" si="69"/>
        <v>0</v>
      </c>
      <c r="M233" s="28" t="str">
        <f t="shared" si="70"/>
        <v>******</v>
      </c>
    </row>
    <row r="234" spans="1:13" x14ac:dyDescent="0.2">
      <c r="A234" s="29" t="s">
        <v>708</v>
      </c>
      <c r="B234" s="27">
        <f t="shared" si="62"/>
        <v>89467876</v>
      </c>
      <c r="C234" s="27">
        <f t="shared" si="62"/>
        <v>5118091</v>
      </c>
      <c r="D234" s="27">
        <f t="shared" si="62"/>
        <v>0</v>
      </c>
      <c r="E234" s="27">
        <f t="shared" si="62"/>
        <v>15293482142</v>
      </c>
      <c r="F234" s="28">
        <f t="shared" si="63"/>
        <v>5.72</v>
      </c>
      <c r="G234" s="28">
        <f t="shared" si="64"/>
        <v>-3.7</v>
      </c>
      <c r="H234" s="27">
        <f t="shared" si="65"/>
        <v>2988</v>
      </c>
      <c r="I234" s="28">
        <f t="shared" si="66"/>
        <v>3.07</v>
      </c>
      <c r="J234" s="28">
        <f t="shared" si="67"/>
        <v>170.94</v>
      </c>
      <c r="K234" s="28">
        <f t="shared" si="68"/>
        <v>-0.65</v>
      </c>
      <c r="L234" s="28">
        <f t="shared" si="69"/>
        <v>0</v>
      </c>
      <c r="M234" s="28" t="str">
        <f t="shared" si="70"/>
        <v>******</v>
      </c>
    </row>
    <row r="235" spans="1:13" x14ac:dyDescent="0.2">
      <c r="A235" s="29" t="s">
        <v>709</v>
      </c>
      <c r="B235" s="27">
        <f t="shared" si="62"/>
        <v>89895182</v>
      </c>
      <c r="C235" s="27">
        <f t="shared" si="62"/>
        <v>5179803</v>
      </c>
      <c r="D235" s="27">
        <f t="shared" si="62"/>
        <v>0</v>
      </c>
      <c r="E235" s="27">
        <f t="shared" si="62"/>
        <v>15495402340</v>
      </c>
      <c r="F235" s="28">
        <f t="shared" si="63"/>
        <v>5.76</v>
      </c>
      <c r="G235" s="28">
        <f t="shared" si="64"/>
        <v>-1.71</v>
      </c>
      <c r="H235" s="27">
        <f t="shared" si="65"/>
        <v>2992</v>
      </c>
      <c r="I235" s="28">
        <f t="shared" si="66"/>
        <v>2.36</v>
      </c>
      <c r="J235" s="28">
        <f t="shared" si="67"/>
        <v>172.37</v>
      </c>
      <c r="K235" s="28">
        <f t="shared" si="68"/>
        <v>0.68</v>
      </c>
      <c r="L235" s="28">
        <f t="shared" si="69"/>
        <v>0</v>
      </c>
      <c r="M235" s="28" t="str">
        <f t="shared" si="70"/>
        <v>******</v>
      </c>
    </row>
    <row r="236" spans="1:13" x14ac:dyDescent="0.2">
      <c r="A236" s="29" t="s">
        <v>710</v>
      </c>
      <c r="B236" s="27">
        <f t="shared" si="62"/>
        <v>90320114</v>
      </c>
      <c r="C236" s="27">
        <f t="shared" si="62"/>
        <v>5242675</v>
      </c>
      <c r="D236" s="27">
        <f t="shared" si="62"/>
        <v>0</v>
      </c>
      <c r="E236" s="27">
        <f t="shared" si="62"/>
        <v>15660868935</v>
      </c>
      <c r="F236" s="28">
        <f t="shared" si="63"/>
        <v>5.8</v>
      </c>
      <c r="G236" s="28">
        <f t="shared" si="64"/>
        <v>0.17</v>
      </c>
      <c r="H236" s="27">
        <f t="shared" si="65"/>
        <v>2987</v>
      </c>
      <c r="I236" s="28">
        <f t="shared" si="66"/>
        <v>1.25</v>
      </c>
      <c r="J236" s="28">
        <f t="shared" si="67"/>
        <v>173.39</v>
      </c>
      <c r="K236" s="28">
        <f t="shared" si="68"/>
        <v>1.45</v>
      </c>
      <c r="L236" s="28">
        <f t="shared" si="69"/>
        <v>0</v>
      </c>
      <c r="M236" s="28" t="str">
        <f t="shared" si="70"/>
        <v>******</v>
      </c>
    </row>
    <row r="237" spans="1:13" x14ac:dyDescent="0.2">
      <c r="A237" s="29" t="s">
        <v>711</v>
      </c>
      <c r="B237" s="27">
        <f t="shared" si="62"/>
        <v>90730447</v>
      </c>
      <c r="C237" s="27">
        <f t="shared" si="62"/>
        <v>5283061</v>
      </c>
      <c r="D237" s="27">
        <f t="shared" si="62"/>
        <v>0</v>
      </c>
      <c r="E237" s="27">
        <f t="shared" si="62"/>
        <v>15795210816</v>
      </c>
      <c r="F237" s="28">
        <f t="shared" si="63"/>
        <v>5.82</v>
      </c>
      <c r="G237" s="28">
        <f t="shared" si="64"/>
        <v>1.39</v>
      </c>
      <c r="H237" s="27">
        <f t="shared" si="65"/>
        <v>2990</v>
      </c>
      <c r="I237" s="28">
        <f t="shared" si="66"/>
        <v>0.54</v>
      </c>
      <c r="J237" s="28">
        <f t="shared" si="67"/>
        <v>174.09</v>
      </c>
      <c r="K237" s="28">
        <f t="shared" si="68"/>
        <v>2</v>
      </c>
      <c r="L237" s="28">
        <f t="shared" si="69"/>
        <v>0</v>
      </c>
      <c r="M237" s="28" t="str">
        <f t="shared" si="70"/>
        <v>******</v>
      </c>
    </row>
    <row r="238" spans="1:13" x14ac:dyDescent="0.2">
      <c r="A238" s="29" t="s">
        <v>712</v>
      </c>
      <c r="B238" s="27">
        <f t="shared" si="62"/>
        <v>91125934</v>
      </c>
      <c r="C238" s="27">
        <f t="shared" si="62"/>
        <v>5337017</v>
      </c>
      <c r="D238" s="27">
        <f t="shared" si="62"/>
        <v>0</v>
      </c>
      <c r="E238" s="27">
        <f t="shared" si="62"/>
        <v>15956421480</v>
      </c>
      <c r="F238" s="28">
        <f t="shared" si="63"/>
        <v>5.86</v>
      </c>
      <c r="G238" s="28">
        <f t="shared" si="64"/>
        <v>2.4500000000000002</v>
      </c>
      <c r="H238" s="27">
        <f t="shared" si="65"/>
        <v>2990</v>
      </c>
      <c r="I238" s="28">
        <f t="shared" si="66"/>
        <v>7.0000000000000007E-2</v>
      </c>
      <c r="J238" s="28">
        <f t="shared" si="67"/>
        <v>175.1</v>
      </c>
      <c r="K238" s="28">
        <f t="shared" si="68"/>
        <v>2.4300000000000002</v>
      </c>
      <c r="L238" s="28">
        <f t="shared" si="69"/>
        <v>0</v>
      </c>
      <c r="M238" s="28" t="str">
        <f t="shared" si="70"/>
        <v>******</v>
      </c>
    </row>
    <row r="239" spans="1:13" x14ac:dyDescent="0.2">
      <c r="A239" s="29" t="s">
        <v>713</v>
      </c>
      <c r="B239" s="27">
        <f t="shared" si="62"/>
        <v>91518821</v>
      </c>
      <c r="C239" s="27">
        <f t="shared" si="62"/>
        <v>5363926</v>
      </c>
      <c r="D239" s="27">
        <f t="shared" si="62"/>
        <v>0</v>
      </c>
      <c r="E239" s="27">
        <f t="shared" si="62"/>
        <v>16169239149</v>
      </c>
      <c r="F239" s="28">
        <f t="shared" si="63"/>
        <v>5.86</v>
      </c>
      <c r="G239" s="28">
        <f t="shared" si="64"/>
        <v>1.74</v>
      </c>
      <c r="H239" s="27">
        <f t="shared" si="65"/>
        <v>3014</v>
      </c>
      <c r="I239" s="28">
        <f t="shared" si="66"/>
        <v>0.74</v>
      </c>
      <c r="J239" s="28">
        <f t="shared" si="67"/>
        <v>176.68</v>
      </c>
      <c r="K239" s="28">
        <f t="shared" si="68"/>
        <v>2.5</v>
      </c>
      <c r="L239" s="28">
        <f t="shared" si="69"/>
        <v>0</v>
      </c>
      <c r="M239" s="28" t="str">
        <f t="shared" si="70"/>
        <v>******</v>
      </c>
    </row>
    <row r="240" spans="1:13" x14ac:dyDescent="0.2">
      <c r="A240" s="29" t="s">
        <v>714</v>
      </c>
      <c r="B240" s="27">
        <f t="shared" si="62"/>
        <v>91840208</v>
      </c>
      <c r="C240" s="27">
        <f t="shared" si="62"/>
        <v>5358013</v>
      </c>
      <c r="D240" s="27">
        <f t="shared" si="62"/>
        <v>0</v>
      </c>
      <c r="E240" s="27">
        <f t="shared" si="62"/>
        <v>16116701822</v>
      </c>
      <c r="F240" s="28">
        <f t="shared" si="63"/>
        <v>5.83</v>
      </c>
      <c r="G240" s="28">
        <f t="shared" si="64"/>
        <v>0.52</v>
      </c>
      <c r="H240" s="27">
        <f t="shared" si="65"/>
        <v>3008</v>
      </c>
      <c r="I240" s="28">
        <f t="shared" si="66"/>
        <v>0.7</v>
      </c>
      <c r="J240" s="28">
        <f t="shared" si="67"/>
        <v>175.49</v>
      </c>
      <c r="K240" s="28">
        <f t="shared" si="68"/>
        <v>1.21</v>
      </c>
      <c r="L240" s="28">
        <f t="shared" si="69"/>
        <v>0</v>
      </c>
      <c r="M240" s="28" t="str">
        <f t="shared" si="70"/>
        <v>******</v>
      </c>
    </row>
    <row r="241" spans="1:13" x14ac:dyDescent="0.2">
      <c r="A241" s="29" t="s">
        <v>715</v>
      </c>
      <c r="B241" s="27">
        <f t="shared" si="62"/>
        <v>92108656</v>
      </c>
      <c r="C241" s="27">
        <f t="shared" si="62"/>
        <v>5326514</v>
      </c>
      <c r="D241" s="27">
        <f t="shared" si="62"/>
        <v>0</v>
      </c>
      <c r="E241" s="27">
        <f t="shared" si="62"/>
        <v>15947570379</v>
      </c>
      <c r="F241" s="28">
        <f t="shared" si="63"/>
        <v>5.78</v>
      </c>
      <c r="G241" s="28">
        <f t="shared" si="64"/>
        <v>-0.69</v>
      </c>
      <c r="H241" s="27">
        <f t="shared" si="65"/>
        <v>2994</v>
      </c>
      <c r="I241" s="28">
        <f t="shared" si="66"/>
        <v>0.13</v>
      </c>
      <c r="J241" s="28">
        <f t="shared" si="67"/>
        <v>173.14</v>
      </c>
      <c r="K241" s="28">
        <f t="shared" si="68"/>
        <v>-0.55000000000000004</v>
      </c>
      <c r="L241" s="28">
        <f t="shared" si="69"/>
        <v>0</v>
      </c>
      <c r="M241" s="28" t="str">
        <f t="shared" si="70"/>
        <v>******</v>
      </c>
    </row>
    <row r="242" spans="1:13" x14ac:dyDescent="0.2">
      <c r="A242" s="29" t="s">
        <v>716</v>
      </c>
      <c r="B242" s="27">
        <f t="shared" ref="B242:E243" si="71">SUM(B213:B216)</f>
        <v>92271645</v>
      </c>
      <c r="C242" s="27">
        <f t="shared" si="71"/>
        <v>5264463</v>
      </c>
      <c r="D242" s="27">
        <f t="shared" si="71"/>
        <v>0</v>
      </c>
      <c r="E242" s="27">
        <f t="shared" si="71"/>
        <v>15816120945</v>
      </c>
      <c r="F242" s="28">
        <f t="shared" si="63"/>
        <v>5.71</v>
      </c>
      <c r="G242" s="28">
        <f t="shared" si="64"/>
        <v>-2.56</v>
      </c>
      <c r="H242" s="27">
        <f t="shared" si="65"/>
        <v>3004</v>
      </c>
      <c r="I242" s="28">
        <f t="shared" si="66"/>
        <v>0.47</v>
      </c>
      <c r="J242" s="28">
        <f t="shared" si="67"/>
        <v>171.41</v>
      </c>
      <c r="K242" s="28">
        <f t="shared" si="68"/>
        <v>-2.11</v>
      </c>
      <c r="L242" s="28">
        <f t="shared" si="69"/>
        <v>0</v>
      </c>
      <c r="M242" s="28" t="str">
        <f t="shared" si="70"/>
        <v>******</v>
      </c>
    </row>
    <row r="243" spans="1:13" x14ac:dyDescent="0.2">
      <c r="A243" s="29" t="s">
        <v>717</v>
      </c>
      <c r="B243" s="27">
        <f t="shared" si="71"/>
        <v>92278916</v>
      </c>
      <c r="C243" s="27">
        <f t="shared" si="71"/>
        <v>5241498</v>
      </c>
      <c r="D243" s="27">
        <f t="shared" si="71"/>
        <v>0</v>
      </c>
      <c r="E243" s="27">
        <f t="shared" si="71"/>
        <v>15614584182</v>
      </c>
      <c r="F243" s="28">
        <f t="shared" si="63"/>
        <v>5.68</v>
      </c>
      <c r="G243" s="28">
        <f t="shared" si="64"/>
        <v>-3.07</v>
      </c>
      <c r="H243" s="27">
        <f t="shared" si="65"/>
        <v>2979</v>
      </c>
      <c r="I243" s="28">
        <f t="shared" si="66"/>
        <v>-1.1599999999999999</v>
      </c>
      <c r="J243" s="28">
        <f t="shared" si="67"/>
        <v>169.21</v>
      </c>
      <c r="K243" s="28">
        <f t="shared" si="68"/>
        <v>-4.2300000000000004</v>
      </c>
      <c r="L243" s="28">
        <f t="shared" si="69"/>
        <v>0</v>
      </c>
      <c r="M243" s="28" t="str">
        <f t="shared" si="70"/>
        <v>******</v>
      </c>
    </row>
    <row r="244" spans="1:13" x14ac:dyDescent="0.2">
      <c r="A244" s="29" t="s">
        <v>718</v>
      </c>
    </row>
    <row r="245" spans="1:13" x14ac:dyDescent="0.2">
      <c r="A245" s="29" t="s">
        <v>719</v>
      </c>
    </row>
    <row r="249" spans="1:13" ht="13.5" x14ac:dyDescent="0.2">
      <c r="A249" s="26"/>
      <c r="B249" s="29"/>
      <c r="C249" s="70" t="s">
        <v>43</v>
      </c>
      <c r="D249" s="70"/>
      <c r="E249" s="70"/>
      <c r="F249" s="70"/>
      <c r="G249" s="70"/>
      <c r="H249" s="70"/>
      <c r="I249" s="70"/>
      <c r="J249" s="70"/>
      <c r="K249" s="70"/>
      <c r="L249" s="17"/>
      <c r="M249" s="17"/>
    </row>
    <row r="250" spans="1:13" x14ac:dyDescent="0.2">
      <c r="A250" s="37" t="s">
        <v>23</v>
      </c>
      <c r="B250" s="29"/>
      <c r="C250" s="70" t="s">
        <v>42</v>
      </c>
      <c r="D250" s="70"/>
      <c r="E250" s="70"/>
      <c r="F250" s="70"/>
      <c r="G250" s="70"/>
      <c r="H250" s="70"/>
      <c r="I250" s="70"/>
      <c r="J250" s="70"/>
      <c r="K250" s="70"/>
      <c r="L250" s="17"/>
      <c r="M250" s="17"/>
    </row>
    <row r="251" spans="1:13" x14ac:dyDescent="0.2">
      <c r="A251" s="34"/>
      <c r="B251" s="51"/>
      <c r="C251" s="15"/>
      <c r="D251" s="15"/>
      <c r="E251" s="15"/>
      <c r="F251" s="16"/>
      <c r="G251" s="16"/>
      <c r="H251" s="15"/>
      <c r="I251" s="16"/>
      <c r="J251" s="16"/>
      <c r="K251" s="16"/>
      <c r="L251" s="16"/>
      <c r="M251" s="16"/>
    </row>
    <row r="252" spans="1:13" x14ac:dyDescent="0.2">
      <c r="A252" s="17"/>
      <c r="C252" s="15" t="s">
        <v>728</v>
      </c>
      <c r="D252" s="15"/>
      <c r="E252" s="15"/>
      <c r="F252" s="16"/>
      <c r="G252" s="15" t="s">
        <v>0</v>
      </c>
      <c r="H252" s="15"/>
      <c r="I252" s="16"/>
      <c r="J252" s="16"/>
      <c r="K252" s="16"/>
      <c r="L252" s="16"/>
      <c r="M252" s="16"/>
    </row>
    <row r="253" spans="1:13" x14ac:dyDescent="0.2">
      <c r="A253" s="17"/>
      <c r="C253" s="15"/>
      <c r="D253" s="15"/>
      <c r="E253" s="15"/>
      <c r="F253" s="16"/>
      <c r="G253" s="16"/>
      <c r="H253" s="15"/>
      <c r="I253" s="16"/>
      <c r="J253" s="16"/>
      <c r="K253" s="16"/>
      <c r="L253" s="16"/>
      <c r="M253" s="16"/>
    </row>
    <row r="254" spans="1:13" x14ac:dyDescent="0.2">
      <c r="A254" s="18"/>
      <c r="B254" s="52"/>
      <c r="C254" s="19"/>
      <c r="D254" s="19"/>
      <c r="E254" s="19"/>
      <c r="F254" s="20"/>
      <c r="G254" s="20" t="s">
        <v>47</v>
      </c>
      <c r="H254" s="19"/>
      <c r="I254" s="20" t="s">
        <v>47</v>
      </c>
      <c r="J254" s="20"/>
      <c r="K254" s="20" t="s">
        <v>47</v>
      </c>
      <c r="L254" s="20"/>
      <c r="M254" s="20" t="s">
        <v>47</v>
      </c>
    </row>
    <row r="255" spans="1:13" x14ac:dyDescent="0.2">
      <c r="A255" s="17"/>
      <c r="B255" s="52"/>
      <c r="C255" s="19" t="s">
        <v>48</v>
      </c>
      <c r="D255" s="19" t="s">
        <v>48</v>
      </c>
      <c r="E255" s="19"/>
      <c r="F255" s="19" t="s">
        <v>7</v>
      </c>
      <c r="G255" s="20" t="s">
        <v>49</v>
      </c>
      <c r="H255" s="19" t="s">
        <v>7</v>
      </c>
      <c r="I255" s="20" t="s">
        <v>49</v>
      </c>
      <c r="J255" s="20"/>
      <c r="K255" s="20" t="s">
        <v>49</v>
      </c>
      <c r="L255" s="20" t="s">
        <v>8</v>
      </c>
      <c r="M255" s="20" t="s">
        <v>49</v>
      </c>
    </row>
    <row r="256" spans="1:13" x14ac:dyDescent="0.2">
      <c r="A256" s="47" t="s">
        <v>20</v>
      </c>
      <c r="B256" s="52" t="s">
        <v>50</v>
      </c>
      <c r="C256" s="19" t="s">
        <v>7</v>
      </c>
      <c r="D256" s="19" t="s">
        <v>51</v>
      </c>
      <c r="E256" s="19" t="s">
        <v>7</v>
      </c>
      <c r="F256" s="20" t="s">
        <v>11</v>
      </c>
      <c r="G256" s="20" t="s">
        <v>52</v>
      </c>
      <c r="H256" s="19" t="s">
        <v>11</v>
      </c>
      <c r="I256" s="20" t="s">
        <v>52</v>
      </c>
      <c r="J256" s="20" t="s">
        <v>10</v>
      </c>
      <c r="K256" s="20" t="s">
        <v>52</v>
      </c>
      <c r="L256" s="20" t="s">
        <v>11</v>
      </c>
      <c r="M256" s="20" t="s">
        <v>52</v>
      </c>
    </row>
    <row r="257" spans="1:13" x14ac:dyDescent="0.2">
      <c r="A257" s="48" t="s">
        <v>19</v>
      </c>
      <c r="B257" s="53" t="s">
        <v>53</v>
      </c>
      <c r="C257" s="49" t="s">
        <v>51</v>
      </c>
      <c r="D257" s="49" t="s">
        <v>8</v>
      </c>
      <c r="E257" s="49" t="s">
        <v>54</v>
      </c>
      <c r="F257" s="50" t="s">
        <v>13</v>
      </c>
      <c r="G257" s="50" t="s">
        <v>6</v>
      </c>
      <c r="H257" s="49" t="s">
        <v>22</v>
      </c>
      <c r="I257" s="50" t="s">
        <v>6</v>
      </c>
      <c r="J257" s="50" t="s">
        <v>55</v>
      </c>
      <c r="K257" s="50" t="s">
        <v>6</v>
      </c>
      <c r="L257" s="50" t="s">
        <v>13</v>
      </c>
      <c r="M257" s="50" t="s">
        <v>6</v>
      </c>
    </row>
    <row r="259" spans="1:13" x14ac:dyDescent="0.2">
      <c r="A259" s="29" t="s">
        <v>722</v>
      </c>
      <c r="B259" s="27">
        <f>VLOOKUP($A11&amp;"PIP"&amp;State2,Sheet5!$A$2:$I$295,2,FALSE)</f>
        <v>5931638</v>
      </c>
      <c r="C259" s="27">
        <f>VLOOKUP($A11&amp;"PIP"&amp;State2,Sheet5!$A$2:$I$295,3,FALSE)</f>
        <v>105274</v>
      </c>
      <c r="D259" s="27">
        <f>VLOOKUP($A11&amp;"PIP"&amp;State2,Sheet5!$A$2:$I$295,4,FALSE)</f>
        <v>138799</v>
      </c>
      <c r="E259" s="27">
        <f>VLOOKUP($A11&amp;"PIP"&amp;State2,Sheet5!$A$2:$I$295,5,FALSE)</f>
        <v>714107498</v>
      </c>
      <c r="F259" s="28">
        <f>IF(B259=0,0,ROUND((C259/B259)*100,2))</f>
        <v>1.77</v>
      </c>
      <c r="G259" s="28" t="str">
        <f>IF(ISERR((F255-F259)/F255),"*****",ROUND(-((F255-F259)/F255)*100,2))</f>
        <v>*****</v>
      </c>
      <c r="H259" s="27">
        <f>IF(C259=0,0,ROUND(E259/C259,0))</f>
        <v>6783</v>
      </c>
      <c r="I259" s="28" t="str">
        <f>IF(ISERR((H255-H259)/H255),"******",ROUND(-((H255-H259)/H255)*100,2))</f>
        <v>******</v>
      </c>
      <c r="J259" s="28">
        <f>IF(B259=0,0,ROUND(E259/B259,2))</f>
        <v>120.39</v>
      </c>
      <c r="K259" s="28" t="str">
        <f>IF(ISERR((J255-J259)/J255),"******",ROUND(-((J255-J259)/J255)*100,2))</f>
        <v>******</v>
      </c>
      <c r="L259" s="28">
        <f>IF(B259=0,0,ROUND((D259/B259)*100,2))</f>
        <v>2.34</v>
      </c>
      <c r="M259" s="28" t="str">
        <f>IF(ISERR((L255-L259)/L255),"******",ROUND(-((L255-L259)/L255)*100,2))</f>
        <v>******</v>
      </c>
    </row>
    <row r="260" spans="1:13" x14ac:dyDescent="0.2">
      <c r="A260" s="29" t="s">
        <v>723</v>
      </c>
      <c r="B260" s="27">
        <f>VLOOKUP($A12&amp;"PIP"&amp;State2,Sheet5!$A$2:$I$295,2,FALSE)</f>
        <v>6015828</v>
      </c>
      <c r="C260" s="27">
        <f>VLOOKUP($A12&amp;"PIP"&amp;State2,Sheet5!$A$2:$I$295,3,FALSE)</f>
        <v>100269</v>
      </c>
      <c r="D260" s="27">
        <f>VLOOKUP($A12&amp;"PIP"&amp;State2,Sheet5!$A$2:$I$295,4,FALSE)</f>
        <v>136075</v>
      </c>
      <c r="E260" s="27">
        <f>VLOOKUP($A12&amp;"PIP"&amp;State2,Sheet5!$A$2:$I$295,5,FALSE)</f>
        <v>682224278</v>
      </c>
      <c r="F260" s="28">
        <f t="shared" ref="F260:F279" si="72">IF(B260=0,0,ROUND((C260/B260)*100,2))</f>
        <v>1.67</v>
      </c>
      <c r="G260" s="28" t="str">
        <f t="shared" ref="G260:G279" si="73">IF(ISERR((F256-F260)/F256),"*****",ROUND(-((F256-F260)/F256)*100,2))</f>
        <v>*****</v>
      </c>
      <c r="H260" s="27">
        <f t="shared" ref="H260:H279" si="74">IF(C260=0,0,ROUND(E260/C260,0))</f>
        <v>6804</v>
      </c>
      <c r="I260" s="28" t="str">
        <f t="shared" ref="I260:I279" si="75">IF(ISERR((H256-H260)/H256),"******",ROUND(-((H256-H260)/H256)*100,2))</f>
        <v>******</v>
      </c>
      <c r="J260" s="28">
        <f t="shared" ref="J260:J279" si="76">IF(B260=0,0,ROUND(E260/B260,2))</f>
        <v>113.4</v>
      </c>
      <c r="K260" s="28" t="str">
        <f t="shared" ref="K260:K279" si="77">IF(ISERR((J256-J260)/J256),"******",ROUND(-((J256-J260)/J256)*100,2))</f>
        <v>******</v>
      </c>
      <c r="L260" s="28">
        <f t="shared" ref="L260:L279" si="78">IF(B260=0,0,ROUND((D260/B260)*100,2))</f>
        <v>2.2599999999999998</v>
      </c>
      <c r="M260" s="28" t="str">
        <f t="shared" ref="M260:M279" si="79">IF(ISERR((L256-L260)/L256),"******",ROUND(-((L256-L260)/L256)*100,2))</f>
        <v>******</v>
      </c>
    </row>
    <row r="261" spans="1:13" x14ac:dyDescent="0.2">
      <c r="A261" s="29" t="s">
        <v>724</v>
      </c>
      <c r="B261" s="27">
        <f>VLOOKUP($A13&amp;"PIP"&amp;State2,Sheet5!$A$2:$I$295,2,FALSE)</f>
        <v>6071562</v>
      </c>
      <c r="C261" s="27">
        <f>VLOOKUP($A13&amp;"PIP"&amp;State2,Sheet5!$A$2:$I$295,3,FALSE)</f>
        <v>100017</v>
      </c>
      <c r="D261" s="27">
        <f>VLOOKUP($A13&amp;"PIP"&amp;State2,Sheet5!$A$2:$I$295,4,FALSE)</f>
        <v>138106</v>
      </c>
      <c r="E261" s="27">
        <f>VLOOKUP($A13&amp;"PIP"&amp;State2,Sheet5!$A$2:$I$295,5,FALSE)</f>
        <v>701545198</v>
      </c>
      <c r="F261" s="28">
        <f t="shared" si="72"/>
        <v>1.65</v>
      </c>
      <c r="G261" s="28" t="str">
        <f t="shared" si="73"/>
        <v>*****</v>
      </c>
      <c r="H261" s="27">
        <f t="shared" si="74"/>
        <v>7014</v>
      </c>
      <c r="I261" s="28" t="str">
        <f t="shared" si="75"/>
        <v>******</v>
      </c>
      <c r="J261" s="28">
        <f t="shared" si="76"/>
        <v>115.55</v>
      </c>
      <c r="K261" s="28" t="str">
        <f t="shared" si="77"/>
        <v>******</v>
      </c>
      <c r="L261" s="28">
        <f t="shared" si="78"/>
        <v>2.27</v>
      </c>
      <c r="M261" s="28" t="str">
        <f t="shared" si="79"/>
        <v>******</v>
      </c>
    </row>
    <row r="262" spans="1:13" x14ac:dyDescent="0.2">
      <c r="A262" s="29" t="s">
        <v>700</v>
      </c>
      <c r="B262" s="27">
        <f>VLOOKUP($A14&amp;"PIP"&amp;State2,Sheet5!$A$2:$I$295,2,FALSE)</f>
        <v>6074811</v>
      </c>
      <c r="C262" s="27">
        <f>VLOOKUP($A14&amp;"PIP"&amp;State2,Sheet5!$A$2:$I$295,3,FALSE)</f>
        <v>96578</v>
      </c>
      <c r="D262" s="27">
        <f>VLOOKUP($A14&amp;"PIP"&amp;State2,Sheet5!$A$2:$I$295,4,FALSE)</f>
        <v>146715</v>
      </c>
      <c r="E262" s="27">
        <f>VLOOKUP($A14&amp;"PIP"&amp;State2,Sheet5!$A$2:$I$295,5,FALSE)</f>
        <v>655954305</v>
      </c>
      <c r="F262" s="28">
        <f t="shared" si="72"/>
        <v>1.59</v>
      </c>
      <c r="G262" s="28" t="str">
        <f t="shared" si="73"/>
        <v>*****</v>
      </c>
      <c r="H262" s="27">
        <f t="shared" si="74"/>
        <v>6792</v>
      </c>
      <c r="I262" s="28" t="str">
        <f t="shared" si="75"/>
        <v>******</v>
      </c>
      <c r="J262" s="28">
        <f t="shared" si="76"/>
        <v>107.98</v>
      </c>
      <c r="K262" s="28" t="str">
        <f t="shared" si="77"/>
        <v>******</v>
      </c>
      <c r="L262" s="28">
        <f t="shared" si="78"/>
        <v>2.42</v>
      </c>
      <c r="M262" s="28" t="str">
        <f t="shared" si="79"/>
        <v>******</v>
      </c>
    </row>
    <row r="263" spans="1:13" x14ac:dyDescent="0.2">
      <c r="A263" s="29" t="s">
        <v>701</v>
      </c>
      <c r="B263" s="27">
        <f>VLOOKUP($A15&amp;"PIP"&amp;State2,Sheet5!$A$2:$I$295,2,FALSE)</f>
        <v>6046297</v>
      </c>
      <c r="C263" s="27">
        <f>VLOOKUP($A15&amp;"PIP"&amp;State2,Sheet5!$A$2:$I$295,3,FALSE)</f>
        <v>98125</v>
      </c>
      <c r="D263" s="27">
        <f>VLOOKUP($A15&amp;"PIP"&amp;State2,Sheet5!$A$2:$I$295,4,FALSE)</f>
        <v>139413</v>
      </c>
      <c r="E263" s="27">
        <f>VLOOKUP($A15&amp;"PIP"&amp;State2,Sheet5!$A$2:$I$295,5,FALSE)</f>
        <v>726810667</v>
      </c>
      <c r="F263" s="28">
        <f t="shared" si="72"/>
        <v>1.62</v>
      </c>
      <c r="G263" s="28">
        <f t="shared" si="73"/>
        <v>-8.4700000000000006</v>
      </c>
      <c r="H263" s="27">
        <f t="shared" si="74"/>
        <v>7407</v>
      </c>
      <c r="I263" s="28">
        <f t="shared" si="75"/>
        <v>9.1999999999999993</v>
      </c>
      <c r="J263" s="28">
        <f t="shared" si="76"/>
        <v>120.21</v>
      </c>
      <c r="K263" s="28">
        <f t="shared" si="77"/>
        <v>-0.15</v>
      </c>
      <c r="L263" s="28">
        <f t="shared" si="78"/>
        <v>2.31</v>
      </c>
      <c r="M263" s="28">
        <f t="shared" si="79"/>
        <v>-1.28</v>
      </c>
    </row>
    <row r="264" spans="1:13" x14ac:dyDescent="0.2">
      <c r="A264" s="29" t="s">
        <v>702</v>
      </c>
      <c r="B264" s="27">
        <f>VLOOKUP($A16&amp;"PIP"&amp;State2,Sheet5!$A$2:$I$295,2,FALSE)</f>
        <v>6123183</v>
      </c>
      <c r="C264" s="27">
        <f>VLOOKUP($A16&amp;"PIP"&amp;State2,Sheet5!$A$2:$I$295,3,FALSE)</f>
        <v>96158</v>
      </c>
      <c r="D264" s="27">
        <f>VLOOKUP($A16&amp;"PIP"&amp;State2,Sheet5!$A$2:$I$295,4,FALSE)</f>
        <v>136123</v>
      </c>
      <c r="E264" s="27">
        <f>VLOOKUP($A16&amp;"PIP"&amp;State2,Sheet5!$A$2:$I$295,5,FALSE)</f>
        <v>711899664</v>
      </c>
      <c r="F264" s="28">
        <f t="shared" si="72"/>
        <v>1.57</v>
      </c>
      <c r="G264" s="28">
        <f t="shared" si="73"/>
        <v>-5.99</v>
      </c>
      <c r="H264" s="27">
        <f t="shared" si="74"/>
        <v>7403</v>
      </c>
      <c r="I264" s="28">
        <f t="shared" si="75"/>
        <v>8.8000000000000007</v>
      </c>
      <c r="J264" s="28">
        <f t="shared" si="76"/>
        <v>116.26</v>
      </c>
      <c r="K264" s="28">
        <f t="shared" si="77"/>
        <v>2.52</v>
      </c>
      <c r="L264" s="28">
        <f t="shared" si="78"/>
        <v>2.2200000000000002</v>
      </c>
      <c r="M264" s="28">
        <f t="shared" si="79"/>
        <v>-1.77</v>
      </c>
    </row>
    <row r="265" spans="1:13" x14ac:dyDescent="0.2">
      <c r="A265" s="29" t="s">
        <v>703</v>
      </c>
      <c r="B265" s="27">
        <f>VLOOKUP($A17&amp;"PIP"&amp;State2,Sheet5!$A$2:$I$295,2,FALSE)</f>
        <v>6177629</v>
      </c>
      <c r="C265" s="27">
        <f>VLOOKUP($A17&amp;"PIP"&amp;State2,Sheet5!$A$2:$I$295,3,FALSE)</f>
        <v>99965</v>
      </c>
      <c r="D265" s="27">
        <f>VLOOKUP($A17&amp;"PIP"&amp;State2,Sheet5!$A$2:$I$295,4,FALSE)</f>
        <v>133123</v>
      </c>
      <c r="E265" s="27">
        <f>VLOOKUP($A17&amp;"PIP"&amp;State2,Sheet5!$A$2:$I$295,5,FALSE)</f>
        <v>689070405</v>
      </c>
      <c r="F265" s="28">
        <f t="shared" si="72"/>
        <v>1.62</v>
      </c>
      <c r="G265" s="28">
        <f t="shared" si="73"/>
        <v>-1.82</v>
      </c>
      <c r="H265" s="27">
        <f t="shared" si="74"/>
        <v>6893</v>
      </c>
      <c r="I265" s="28">
        <f t="shared" si="75"/>
        <v>-1.73</v>
      </c>
      <c r="J265" s="28">
        <f t="shared" si="76"/>
        <v>111.54</v>
      </c>
      <c r="K265" s="28">
        <f t="shared" si="77"/>
        <v>-3.47</v>
      </c>
      <c r="L265" s="28">
        <f t="shared" si="78"/>
        <v>2.15</v>
      </c>
      <c r="M265" s="28">
        <f t="shared" si="79"/>
        <v>-5.29</v>
      </c>
    </row>
    <row r="266" spans="1:13" x14ac:dyDescent="0.2">
      <c r="A266" s="29" t="s">
        <v>704</v>
      </c>
      <c r="B266" s="27">
        <f>VLOOKUP($A18&amp;"PIP"&amp;State2,Sheet5!$A$2:$I$295,2,FALSE)</f>
        <v>6183884</v>
      </c>
      <c r="C266" s="27">
        <f>VLOOKUP($A18&amp;"PIP"&amp;State2,Sheet5!$A$2:$I$295,3,FALSE)</f>
        <v>94981</v>
      </c>
      <c r="D266" s="27">
        <f>VLOOKUP($A18&amp;"PIP"&amp;State2,Sheet5!$A$2:$I$295,4,FALSE)</f>
        <v>136938</v>
      </c>
      <c r="E266" s="27">
        <f>VLOOKUP($A18&amp;"PIP"&amp;State2,Sheet5!$A$2:$I$295,5,FALSE)</f>
        <v>667121348</v>
      </c>
      <c r="F266" s="28">
        <f t="shared" si="72"/>
        <v>1.54</v>
      </c>
      <c r="G266" s="28">
        <f t="shared" si="73"/>
        <v>-3.14</v>
      </c>
      <c r="H266" s="27">
        <f t="shared" si="74"/>
        <v>7024</v>
      </c>
      <c r="I266" s="28">
        <f t="shared" si="75"/>
        <v>3.42</v>
      </c>
      <c r="J266" s="28">
        <f t="shared" si="76"/>
        <v>107.88</v>
      </c>
      <c r="K266" s="28">
        <f t="shared" si="77"/>
        <v>-0.09</v>
      </c>
      <c r="L266" s="28">
        <f t="shared" si="78"/>
        <v>2.21</v>
      </c>
      <c r="M266" s="28">
        <f t="shared" si="79"/>
        <v>-8.68</v>
      </c>
    </row>
    <row r="267" spans="1:13" x14ac:dyDescent="0.2">
      <c r="A267" s="29" t="s">
        <v>705</v>
      </c>
      <c r="B267" s="27">
        <f>VLOOKUP($A19&amp;"PIP"&amp;State2,Sheet5!$A$2:$I$295,2,FALSE)</f>
        <v>6169620</v>
      </c>
      <c r="C267" s="27">
        <f>VLOOKUP($A19&amp;"PIP"&amp;State2,Sheet5!$A$2:$I$295,3,FALSE)</f>
        <v>99726</v>
      </c>
      <c r="D267" s="27">
        <f>VLOOKUP($A19&amp;"PIP"&amp;State2,Sheet5!$A$2:$I$295,4,FALSE)</f>
        <v>132215</v>
      </c>
      <c r="E267" s="27">
        <f>VLOOKUP($A19&amp;"PIP"&amp;State2,Sheet5!$A$2:$I$295,5,FALSE)</f>
        <v>715024899</v>
      </c>
      <c r="F267" s="28">
        <f t="shared" si="72"/>
        <v>1.62</v>
      </c>
      <c r="G267" s="28">
        <f t="shared" si="73"/>
        <v>0</v>
      </c>
      <c r="H267" s="27">
        <f t="shared" si="74"/>
        <v>7170</v>
      </c>
      <c r="I267" s="28">
        <f t="shared" si="75"/>
        <v>-3.2</v>
      </c>
      <c r="J267" s="28">
        <f t="shared" si="76"/>
        <v>115.89</v>
      </c>
      <c r="K267" s="28">
        <f t="shared" si="77"/>
        <v>-3.59</v>
      </c>
      <c r="L267" s="28">
        <f t="shared" si="78"/>
        <v>2.14</v>
      </c>
      <c r="M267" s="28">
        <f t="shared" si="79"/>
        <v>-7.36</v>
      </c>
    </row>
    <row r="268" spans="1:13" x14ac:dyDescent="0.2">
      <c r="A268" s="29" t="s">
        <v>706</v>
      </c>
      <c r="B268" s="27">
        <f>VLOOKUP($A20&amp;"PIP"&amp;State2,Sheet5!$A$2:$I$295,2,FALSE)</f>
        <v>6261689</v>
      </c>
      <c r="C268" s="27">
        <f>VLOOKUP($A20&amp;"PIP"&amp;State2,Sheet5!$A$2:$I$295,3,FALSE)</f>
        <v>95897</v>
      </c>
      <c r="D268" s="27">
        <f>VLOOKUP($A20&amp;"PIP"&amp;State2,Sheet5!$A$2:$I$295,4,FALSE)</f>
        <v>128796</v>
      </c>
      <c r="E268" s="27">
        <f>VLOOKUP($A20&amp;"PIP"&amp;State2,Sheet5!$A$2:$I$295,5,FALSE)</f>
        <v>689620533</v>
      </c>
      <c r="F268" s="28">
        <f t="shared" si="72"/>
        <v>1.53</v>
      </c>
      <c r="G268" s="28">
        <f t="shared" si="73"/>
        <v>-2.5499999999999998</v>
      </c>
      <c r="H268" s="27">
        <f t="shared" si="74"/>
        <v>7191</v>
      </c>
      <c r="I268" s="28">
        <f t="shared" si="75"/>
        <v>-2.86</v>
      </c>
      <c r="J268" s="28">
        <f t="shared" si="76"/>
        <v>110.13</v>
      </c>
      <c r="K268" s="28">
        <f t="shared" si="77"/>
        <v>-5.27</v>
      </c>
      <c r="L268" s="28">
        <f t="shared" si="78"/>
        <v>2.06</v>
      </c>
      <c r="M268" s="28">
        <f t="shared" si="79"/>
        <v>-7.21</v>
      </c>
    </row>
    <row r="269" spans="1:13" x14ac:dyDescent="0.2">
      <c r="A269" s="29" t="s">
        <v>707</v>
      </c>
      <c r="B269" s="27">
        <f>VLOOKUP($A21&amp;"PIP"&amp;State2,Sheet5!$A$2:$I$295,2,FALSE)</f>
        <v>6310909</v>
      </c>
      <c r="C269" s="27">
        <f>VLOOKUP($A21&amp;"PIP"&amp;State2,Sheet5!$A$2:$I$295,3,FALSE)</f>
        <v>90683</v>
      </c>
      <c r="D269" s="27">
        <f>VLOOKUP($A21&amp;"PIP"&amp;State2,Sheet5!$A$2:$I$295,4,FALSE)</f>
        <v>128357</v>
      </c>
      <c r="E269" s="27">
        <f>VLOOKUP($A21&amp;"PIP"&amp;State2,Sheet5!$A$2:$I$295,5,FALSE)</f>
        <v>671248052</v>
      </c>
      <c r="F269" s="28">
        <f t="shared" si="72"/>
        <v>1.44</v>
      </c>
      <c r="G269" s="28">
        <f t="shared" si="73"/>
        <v>-11.11</v>
      </c>
      <c r="H269" s="27">
        <f t="shared" si="74"/>
        <v>7402</v>
      </c>
      <c r="I269" s="28">
        <f t="shared" si="75"/>
        <v>7.38</v>
      </c>
      <c r="J269" s="28">
        <f t="shared" si="76"/>
        <v>106.36</v>
      </c>
      <c r="K269" s="28">
        <f t="shared" si="77"/>
        <v>-4.6399999999999997</v>
      </c>
      <c r="L269" s="28">
        <f t="shared" si="78"/>
        <v>2.0299999999999998</v>
      </c>
      <c r="M269" s="28">
        <f t="shared" si="79"/>
        <v>-5.58</v>
      </c>
    </row>
    <row r="270" spans="1:13" x14ac:dyDescent="0.2">
      <c r="A270" s="29" t="s">
        <v>708</v>
      </c>
      <c r="B270" s="27">
        <f>VLOOKUP($A22&amp;"PIP"&amp;State2,Sheet5!$A$2:$I$295,2,FALSE)</f>
        <v>6309852</v>
      </c>
      <c r="C270" s="27">
        <f>VLOOKUP($A22&amp;"PIP"&amp;State2,Sheet5!$A$2:$I$295,3,FALSE)</f>
        <v>89597</v>
      </c>
      <c r="D270" s="27">
        <f>VLOOKUP($A22&amp;"PIP"&amp;State2,Sheet5!$A$2:$I$295,4,FALSE)</f>
        <v>135599</v>
      </c>
      <c r="E270" s="27">
        <f>VLOOKUP($A22&amp;"PIP"&amp;State2,Sheet5!$A$2:$I$295,5,FALSE)</f>
        <v>689406927</v>
      </c>
      <c r="F270" s="28">
        <f t="shared" si="72"/>
        <v>1.42</v>
      </c>
      <c r="G270" s="28">
        <f t="shared" si="73"/>
        <v>-7.79</v>
      </c>
      <c r="H270" s="27">
        <f t="shared" si="74"/>
        <v>7695</v>
      </c>
      <c r="I270" s="28">
        <f t="shared" si="75"/>
        <v>9.5500000000000007</v>
      </c>
      <c r="J270" s="28">
        <f t="shared" si="76"/>
        <v>109.26</v>
      </c>
      <c r="K270" s="28">
        <f t="shared" si="77"/>
        <v>1.28</v>
      </c>
      <c r="L270" s="28">
        <f t="shared" si="78"/>
        <v>2.15</v>
      </c>
      <c r="M270" s="28">
        <f t="shared" si="79"/>
        <v>-2.71</v>
      </c>
    </row>
    <row r="271" spans="1:13" x14ac:dyDescent="0.2">
      <c r="A271" s="29" t="s">
        <v>709</v>
      </c>
      <c r="B271" s="27">
        <f>VLOOKUP($A23&amp;"PIP"&amp;State2,Sheet5!$A$2:$I$295,2,FALSE)</f>
        <v>6299869</v>
      </c>
      <c r="C271" s="27">
        <f>VLOOKUP($A23&amp;"PIP"&amp;State2,Sheet5!$A$2:$I$295,3,FALSE)</f>
        <v>95122</v>
      </c>
      <c r="D271" s="27">
        <f>VLOOKUP($A23&amp;"PIP"&amp;State2,Sheet5!$A$2:$I$295,4,FALSE)</f>
        <v>135214</v>
      </c>
      <c r="E271" s="27">
        <f>VLOOKUP($A23&amp;"PIP"&amp;State2,Sheet5!$A$2:$I$295,5,FALSE)</f>
        <v>723211706</v>
      </c>
      <c r="F271" s="28">
        <f t="shared" si="72"/>
        <v>1.51</v>
      </c>
      <c r="G271" s="28">
        <f t="shared" si="73"/>
        <v>-6.79</v>
      </c>
      <c r="H271" s="27">
        <f t="shared" si="74"/>
        <v>7603</v>
      </c>
      <c r="I271" s="28">
        <f t="shared" si="75"/>
        <v>6.04</v>
      </c>
      <c r="J271" s="28">
        <f t="shared" si="76"/>
        <v>114.8</v>
      </c>
      <c r="K271" s="28">
        <f t="shared" si="77"/>
        <v>-0.94</v>
      </c>
      <c r="L271" s="28">
        <f t="shared" si="78"/>
        <v>2.15</v>
      </c>
      <c r="M271" s="28">
        <f t="shared" si="79"/>
        <v>0.47</v>
      </c>
    </row>
    <row r="272" spans="1:13" x14ac:dyDescent="0.2">
      <c r="A272" s="29" t="s">
        <v>710</v>
      </c>
      <c r="B272" s="27">
        <f>VLOOKUP($A24&amp;"PIP"&amp;State2,Sheet5!$A$2:$I$295,2,FALSE)</f>
        <v>6382792</v>
      </c>
      <c r="C272" s="27">
        <f>VLOOKUP($A24&amp;"PIP"&amp;State2,Sheet5!$A$2:$I$295,3,FALSE)</f>
        <v>92958</v>
      </c>
      <c r="D272" s="27">
        <f>VLOOKUP($A24&amp;"PIP"&amp;State2,Sheet5!$A$2:$I$295,4,FALSE)</f>
        <v>129527</v>
      </c>
      <c r="E272" s="27">
        <f>VLOOKUP($A24&amp;"PIP"&amp;State2,Sheet5!$A$2:$I$295,5,FALSE)</f>
        <v>703391636</v>
      </c>
      <c r="F272" s="28">
        <f t="shared" si="72"/>
        <v>1.46</v>
      </c>
      <c r="G272" s="28">
        <f t="shared" si="73"/>
        <v>-4.58</v>
      </c>
      <c r="H272" s="27">
        <f t="shared" si="74"/>
        <v>7567</v>
      </c>
      <c r="I272" s="28">
        <f t="shared" si="75"/>
        <v>5.23</v>
      </c>
      <c r="J272" s="28">
        <f t="shared" si="76"/>
        <v>110.2</v>
      </c>
      <c r="K272" s="28">
        <f t="shared" si="77"/>
        <v>0.06</v>
      </c>
      <c r="L272" s="28">
        <f t="shared" si="78"/>
        <v>2.0299999999999998</v>
      </c>
      <c r="M272" s="28">
        <f t="shared" si="79"/>
        <v>-1.46</v>
      </c>
    </row>
    <row r="273" spans="1:13" x14ac:dyDescent="0.2">
      <c r="A273" s="29" t="s">
        <v>711</v>
      </c>
      <c r="B273" s="27">
        <f>VLOOKUP($A25&amp;"PIP"&amp;State2,Sheet5!$A$2:$I$295,2,FALSE)</f>
        <v>6427949</v>
      </c>
      <c r="C273" s="27">
        <f>VLOOKUP($A25&amp;"PIP"&amp;State2,Sheet5!$A$2:$I$295,3,FALSE)</f>
        <v>89031</v>
      </c>
      <c r="D273" s="27">
        <f>VLOOKUP($A25&amp;"PIP"&amp;State2,Sheet5!$A$2:$I$295,4,FALSE)</f>
        <v>130273</v>
      </c>
      <c r="E273" s="27">
        <f>VLOOKUP($A25&amp;"PIP"&amp;State2,Sheet5!$A$2:$I$295,5,FALSE)</f>
        <v>704302239</v>
      </c>
      <c r="F273" s="28">
        <f t="shared" si="72"/>
        <v>1.39</v>
      </c>
      <c r="G273" s="28">
        <f t="shared" si="73"/>
        <v>-3.47</v>
      </c>
      <c r="H273" s="27">
        <f t="shared" si="74"/>
        <v>7911</v>
      </c>
      <c r="I273" s="28">
        <f t="shared" si="75"/>
        <v>6.88</v>
      </c>
      <c r="J273" s="28">
        <f t="shared" si="76"/>
        <v>109.57</v>
      </c>
      <c r="K273" s="28">
        <f t="shared" si="77"/>
        <v>3.02</v>
      </c>
      <c r="L273" s="28">
        <f t="shared" si="78"/>
        <v>2.0299999999999998</v>
      </c>
      <c r="M273" s="28">
        <f t="shared" si="79"/>
        <v>0</v>
      </c>
    </row>
    <row r="274" spans="1:13" x14ac:dyDescent="0.2">
      <c r="A274" s="29" t="s">
        <v>712</v>
      </c>
      <c r="B274" s="27">
        <f>VLOOKUP($A26&amp;"PIP"&amp;State2,Sheet5!$A$2:$I$295,2,FALSE)</f>
        <v>6028694</v>
      </c>
      <c r="C274" s="27">
        <f>VLOOKUP($A26&amp;"PIP"&amp;State2,Sheet5!$A$2:$I$295,3,FALSE)</f>
        <v>88258</v>
      </c>
      <c r="D274" s="27">
        <f>VLOOKUP($A26&amp;"PIP"&amp;State2,Sheet5!$A$2:$I$295,4,FALSE)</f>
        <v>134722</v>
      </c>
      <c r="E274" s="27">
        <f>VLOOKUP($A26&amp;"PIP"&amp;State2,Sheet5!$A$2:$I$295,5,FALSE)</f>
        <v>722442897</v>
      </c>
      <c r="F274" s="28">
        <f t="shared" si="72"/>
        <v>1.46</v>
      </c>
      <c r="G274" s="28">
        <f t="shared" si="73"/>
        <v>2.82</v>
      </c>
      <c r="H274" s="27">
        <f t="shared" si="74"/>
        <v>8186</v>
      </c>
      <c r="I274" s="28">
        <f t="shared" si="75"/>
        <v>6.38</v>
      </c>
      <c r="J274" s="28">
        <f t="shared" si="76"/>
        <v>119.83</v>
      </c>
      <c r="K274" s="28">
        <f t="shared" si="77"/>
        <v>9.67</v>
      </c>
      <c r="L274" s="28">
        <f t="shared" si="78"/>
        <v>2.23</v>
      </c>
      <c r="M274" s="28">
        <f t="shared" si="79"/>
        <v>3.72</v>
      </c>
    </row>
    <row r="275" spans="1:13" x14ac:dyDescent="0.2">
      <c r="A275" s="29" t="s">
        <v>713</v>
      </c>
      <c r="B275" s="27">
        <f>VLOOKUP($A27&amp;"PIP"&amp;State2,Sheet5!$A$2:$I$295,2,FALSE)</f>
        <v>6420700</v>
      </c>
      <c r="C275" s="27">
        <f>VLOOKUP($A27&amp;"PIP"&amp;State2,Sheet5!$A$2:$I$295,3,FALSE)</f>
        <v>90684</v>
      </c>
      <c r="D275" s="27">
        <f>VLOOKUP($A27&amp;"PIP"&amp;State2,Sheet5!$A$2:$I$295,4,FALSE)</f>
        <v>132527</v>
      </c>
      <c r="E275" s="27">
        <f>VLOOKUP($A27&amp;"PIP"&amp;State2,Sheet5!$A$2:$I$295,5,FALSE)</f>
        <v>712751386</v>
      </c>
      <c r="F275" s="28">
        <f t="shared" si="72"/>
        <v>1.41</v>
      </c>
      <c r="G275" s="28">
        <f t="shared" si="73"/>
        <v>-6.62</v>
      </c>
      <c r="H275" s="27">
        <f t="shared" si="74"/>
        <v>7860</v>
      </c>
      <c r="I275" s="28">
        <f t="shared" si="75"/>
        <v>3.38</v>
      </c>
      <c r="J275" s="28">
        <f t="shared" si="76"/>
        <v>111.01</v>
      </c>
      <c r="K275" s="28">
        <f t="shared" si="77"/>
        <v>-3.3</v>
      </c>
      <c r="L275" s="28">
        <f t="shared" si="78"/>
        <v>2.06</v>
      </c>
      <c r="M275" s="28">
        <f t="shared" si="79"/>
        <v>-4.1900000000000004</v>
      </c>
    </row>
    <row r="276" spans="1:13" x14ac:dyDescent="0.2">
      <c r="A276" s="29" t="s">
        <v>714</v>
      </c>
      <c r="B276" s="27">
        <f>VLOOKUP($A28&amp;"PIP"&amp;State2,Sheet5!$A$2:$I$295,2,FALSE)</f>
        <v>6495540</v>
      </c>
      <c r="C276" s="27">
        <f>VLOOKUP($A28&amp;"PIP"&amp;State2,Sheet5!$A$2:$I$295,3,FALSE)</f>
        <v>86827</v>
      </c>
      <c r="D276" s="27">
        <f>VLOOKUP($A28&amp;"PIP"&amp;State2,Sheet5!$A$2:$I$295,4,FALSE)</f>
        <v>126079</v>
      </c>
      <c r="E276" s="27">
        <f>VLOOKUP($A28&amp;"PIP"&amp;State2,Sheet5!$A$2:$I$295,5,FALSE)</f>
        <v>728832317</v>
      </c>
      <c r="F276" s="28">
        <f t="shared" si="72"/>
        <v>1.34</v>
      </c>
      <c r="G276" s="28">
        <f t="shared" si="73"/>
        <v>-8.2200000000000006</v>
      </c>
      <c r="H276" s="27">
        <f t="shared" si="74"/>
        <v>8394</v>
      </c>
      <c r="I276" s="28">
        <f t="shared" si="75"/>
        <v>10.93</v>
      </c>
      <c r="J276" s="28">
        <f t="shared" si="76"/>
        <v>112.21</v>
      </c>
      <c r="K276" s="28">
        <f t="shared" si="77"/>
        <v>1.82</v>
      </c>
      <c r="L276" s="28">
        <f t="shared" si="78"/>
        <v>1.94</v>
      </c>
      <c r="M276" s="28">
        <f t="shared" si="79"/>
        <v>-4.43</v>
      </c>
    </row>
    <row r="277" spans="1:13" x14ac:dyDescent="0.2">
      <c r="A277" s="29" t="s">
        <v>715</v>
      </c>
      <c r="B277" s="27">
        <f>VLOOKUP($A29&amp;"PIP"&amp;State2,Sheet5!$A$2:$I$295,2,FALSE)</f>
        <v>6532213</v>
      </c>
      <c r="C277" s="27">
        <f>VLOOKUP($A29&amp;"PIP"&amp;State2,Sheet5!$A$2:$I$295,3,FALSE)</f>
        <v>85308</v>
      </c>
      <c r="D277" s="27">
        <f>VLOOKUP($A29&amp;"PIP"&amp;State2,Sheet5!$A$2:$I$295,4,FALSE)</f>
        <v>125324</v>
      </c>
      <c r="E277" s="27">
        <f>VLOOKUP($A29&amp;"PIP"&amp;State2,Sheet5!$A$2:$I$295,5,FALSE)</f>
        <v>722339528</v>
      </c>
      <c r="F277" s="28">
        <f t="shared" si="72"/>
        <v>1.31</v>
      </c>
      <c r="G277" s="28">
        <f t="shared" si="73"/>
        <v>-5.76</v>
      </c>
      <c r="H277" s="27">
        <f t="shared" si="74"/>
        <v>8467</v>
      </c>
      <c r="I277" s="28">
        <f t="shared" si="75"/>
        <v>7.03</v>
      </c>
      <c r="J277" s="28">
        <f t="shared" si="76"/>
        <v>110.58</v>
      </c>
      <c r="K277" s="28">
        <f t="shared" si="77"/>
        <v>0.92</v>
      </c>
      <c r="L277" s="28">
        <f t="shared" si="78"/>
        <v>1.92</v>
      </c>
      <c r="M277" s="28">
        <f t="shared" si="79"/>
        <v>-5.42</v>
      </c>
    </row>
    <row r="278" spans="1:13" x14ac:dyDescent="0.2">
      <c r="A278" s="29" t="s">
        <v>716</v>
      </c>
      <c r="B278" s="27">
        <f>VLOOKUP($A30&amp;"PIP"&amp;State2,Sheet5!$A$2:$I$295,2,FALSE)</f>
        <v>6519050</v>
      </c>
      <c r="C278" s="27">
        <f>VLOOKUP($A30&amp;"PIP"&amp;State2,Sheet5!$A$2:$I$295,3,FALSE)</f>
        <v>88140</v>
      </c>
      <c r="D278" s="27">
        <f>VLOOKUP($A30&amp;"PIP"&amp;State2,Sheet5!$A$2:$I$295,4,FALSE)</f>
        <v>137958</v>
      </c>
      <c r="E278" s="27">
        <f>VLOOKUP($A30&amp;"PIP"&amp;State2,Sheet5!$A$2:$I$295,5,FALSE)</f>
        <v>757393501</v>
      </c>
      <c r="F278" s="28">
        <f t="shared" si="72"/>
        <v>1.35</v>
      </c>
      <c r="G278" s="28">
        <f t="shared" si="73"/>
        <v>-7.53</v>
      </c>
      <c r="H278" s="27">
        <f t="shared" si="74"/>
        <v>8593</v>
      </c>
      <c r="I278" s="28">
        <f t="shared" si="75"/>
        <v>4.97</v>
      </c>
      <c r="J278" s="28">
        <f t="shared" si="76"/>
        <v>116.18</v>
      </c>
      <c r="K278" s="28">
        <f t="shared" si="77"/>
        <v>-3.05</v>
      </c>
      <c r="L278" s="28">
        <f t="shared" si="78"/>
        <v>2.12</v>
      </c>
      <c r="M278" s="28">
        <f t="shared" si="79"/>
        <v>-4.93</v>
      </c>
    </row>
    <row r="279" spans="1:13" x14ac:dyDescent="0.2">
      <c r="A279" s="29" t="s">
        <v>717</v>
      </c>
      <c r="B279" s="27">
        <f>VLOOKUP($A31&amp;"PIP"&amp;State2,Sheet5!$A$2:$I$295,2,FALSE)</f>
        <v>6467269</v>
      </c>
      <c r="C279" s="27">
        <f>VLOOKUP($A31&amp;"PIP"&amp;State2,Sheet5!$A$2:$I$295,3,FALSE)</f>
        <v>92989</v>
      </c>
      <c r="D279" s="27">
        <f>VLOOKUP($A31&amp;"PIP"&amp;State2,Sheet5!$A$2:$I$295,4,FALSE)</f>
        <v>135009</v>
      </c>
      <c r="E279" s="27">
        <f>VLOOKUP($A31&amp;"PIP"&amp;State2,Sheet5!$A$2:$I$295,5,FALSE)</f>
        <v>814311850</v>
      </c>
      <c r="F279" s="28">
        <f t="shared" si="72"/>
        <v>1.44</v>
      </c>
      <c r="G279" s="28">
        <f t="shared" si="73"/>
        <v>2.13</v>
      </c>
      <c r="H279" s="27">
        <f t="shared" si="74"/>
        <v>8757</v>
      </c>
      <c r="I279" s="28">
        <f t="shared" si="75"/>
        <v>11.41</v>
      </c>
      <c r="J279" s="28">
        <f t="shared" si="76"/>
        <v>125.91</v>
      </c>
      <c r="K279" s="28">
        <f t="shared" si="77"/>
        <v>13.42</v>
      </c>
      <c r="L279" s="28">
        <f t="shared" si="78"/>
        <v>2.09</v>
      </c>
      <c r="M279" s="28">
        <f t="shared" si="79"/>
        <v>1.46</v>
      </c>
    </row>
    <row r="280" spans="1:13" x14ac:dyDescent="0.2">
      <c r="A280" s="29" t="s">
        <v>718</v>
      </c>
    </row>
    <row r="281" spans="1:13" x14ac:dyDescent="0.2">
      <c r="A281" s="29" t="s">
        <v>719</v>
      </c>
    </row>
    <row r="283" spans="1:13" x14ac:dyDescent="0.2">
      <c r="A283" s="18"/>
      <c r="B283" s="52"/>
      <c r="C283" s="19"/>
      <c r="D283" s="19"/>
      <c r="E283" s="19"/>
      <c r="F283" s="20"/>
      <c r="G283" s="20" t="s">
        <v>47</v>
      </c>
      <c r="H283" s="19"/>
      <c r="I283" s="20" t="s">
        <v>47</v>
      </c>
      <c r="J283" s="20"/>
      <c r="K283" s="20" t="s">
        <v>47</v>
      </c>
      <c r="L283" s="20"/>
      <c r="M283" s="20" t="s">
        <v>47</v>
      </c>
    </row>
    <row r="284" spans="1:13" x14ac:dyDescent="0.2">
      <c r="A284" s="17"/>
      <c r="B284" s="52"/>
      <c r="C284" s="19" t="s">
        <v>48</v>
      </c>
      <c r="D284" s="19" t="s">
        <v>48</v>
      </c>
      <c r="E284" s="19"/>
      <c r="F284" s="19" t="s">
        <v>7</v>
      </c>
      <c r="G284" s="20" t="s">
        <v>49</v>
      </c>
      <c r="H284" s="19" t="s">
        <v>7</v>
      </c>
      <c r="I284" s="20" t="s">
        <v>49</v>
      </c>
      <c r="J284" s="20"/>
      <c r="K284" s="20" t="s">
        <v>49</v>
      </c>
      <c r="L284" s="20" t="s">
        <v>8</v>
      </c>
      <c r="M284" s="20" t="s">
        <v>49</v>
      </c>
    </row>
    <row r="285" spans="1:13" x14ac:dyDescent="0.2">
      <c r="A285" s="47" t="s">
        <v>726</v>
      </c>
      <c r="B285" s="52" t="s">
        <v>50</v>
      </c>
      <c r="C285" s="19" t="s">
        <v>7</v>
      </c>
      <c r="D285" s="19" t="s">
        <v>51</v>
      </c>
      <c r="E285" s="19" t="s">
        <v>7</v>
      </c>
      <c r="F285" s="20" t="s">
        <v>11</v>
      </c>
      <c r="G285" s="20" t="s">
        <v>52</v>
      </c>
      <c r="H285" s="19" t="s">
        <v>11</v>
      </c>
      <c r="I285" s="20" t="s">
        <v>52</v>
      </c>
      <c r="J285" s="20" t="s">
        <v>10</v>
      </c>
      <c r="K285" s="20" t="s">
        <v>52</v>
      </c>
      <c r="L285" s="20" t="s">
        <v>11</v>
      </c>
      <c r="M285" s="20" t="s">
        <v>52</v>
      </c>
    </row>
    <row r="286" spans="1:13" x14ac:dyDescent="0.2">
      <c r="A286" s="48" t="s">
        <v>19</v>
      </c>
      <c r="B286" s="53" t="s">
        <v>53</v>
      </c>
      <c r="C286" s="49" t="s">
        <v>51</v>
      </c>
      <c r="D286" s="49" t="s">
        <v>8</v>
      </c>
      <c r="E286" s="49" t="s">
        <v>54</v>
      </c>
      <c r="F286" s="50" t="s">
        <v>13</v>
      </c>
      <c r="G286" s="50" t="s">
        <v>6</v>
      </c>
      <c r="H286" s="49" t="s">
        <v>22</v>
      </c>
      <c r="I286" s="50" t="s">
        <v>6</v>
      </c>
      <c r="J286" s="50" t="s">
        <v>55</v>
      </c>
      <c r="K286" s="50" t="s">
        <v>6</v>
      </c>
      <c r="L286" s="50" t="s">
        <v>13</v>
      </c>
      <c r="M286" s="50" t="s">
        <v>6</v>
      </c>
    </row>
    <row r="288" spans="1:13" x14ac:dyDescent="0.2">
      <c r="A288" s="29" t="s">
        <v>700</v>
      </c>
      <c r="B288" s="27">
        <f t="shared" ref="B288:E303" si="80">SUM(B259:B262)</f>
        <v>24093839</v>
      </c>
      <c r="C288" s="27">
        <f t="shared" si="80"/>
        <v>402138</v>
      </c>
      <c r="D288" s="27">
        <f t="shared" si="80"/>
        <v>559695</v>
      </c>
      <c r="E288" s="27">
        <f t="shared" si="80"/>
        <v>2753831279</v>
      </c>
      <c r="F288" s="28">
        <f>IF(B288=0,0,ROUND((C288/B288)*100,2))</f>
        <v>1.67</v>
      </c>
      <c r="G288" s="28" t="str">
        <f>IF(ISERR((F284-F288)/F284),"*****",ROUND(-((F284-F288)/F284)*100,2))</f>
        <v>*****</v>
      </c>
      <c r="H288" s="27">
        <f>IF(C288=0,0,ROUND(E288/C288,0))</f>
        <v>6848</v>
      </c>
      <c r="I288" s="28" t="str">
        <f>IF(ISERR((H284-H288)/H284),"******",ROUND(-((H284-H288)/H284)*100,2))</f>
        <v>******</v>
      </c>
      <c r="J288" s="28">
        <f>IF(B288=0,0,ROUND(E288/B288,2))</f>
        <v>114.3</v>
      </c>
      <c r="K288" s="28" t="str">
        <f>IF(ISERR((J284-J288)/J284),"******",ROUND(-((J284-J288)/J284)*100,2))</f>
        <v>******</v>
      </c>
      <c r="L288" s="28">
        <f>IF(B288=0,0,ROUND((D288/B288)*100,2))</f>
        <v>2.3199999999999998</v>
      </c>
      <c r="M288" s="28" t="str">
        <f>IF(ISERR((L284-L288)/L284),"******",ROUND(-((L284-L288)/L284)*100,2))</f>
        <v>******</v>
      </c>
    </row>
    <row r="289" spans="1:13" x14ac:dyDescent="0.2">
      <c r="A289" s="29" t="s">
        <v>701</v>
      </c>
      <c r="B289" s="27">
        <f t="shared" si="80"/>
        <v>24208498</v>
      </c>
      <c r="C289" s="27">
        <f t="shared" si="80"/>
        <v>394989</v>
      </c>
      <c r="D289" s="27">
        <f t="shared" si="80"/>
        <v>560309</v>
      </c>
      <c r="E289" s="27">
        <f t="shared" si="80"/>
        <v>2766534448</v>
      </c>
      <c r="F289" s="28">
        <f t="shared" ref="F289:F305" si="81">IF(B289=0,0,ROUND((C289/B289)*100,2))</f>
        <v>1.63</v>
      </c>
      <c r="G289" s="28" t="str">
        <f t="shared" ref="G289:G305" si="82">IF(ISERR((F285-F289)/F285),"*****",ROUND(-((F285-F289)/F285)*100,2))</f>
        <v>*****</v>
      </c>
      <c r="H289" s="27">
        <f t="shared" ref="H289:H305" si="83">IF(C289=0,0,ROUND(E289/C289,0))</f>
        <v>7004</v>
      </c>
      <c r="I289" s="28" t="str">
        <f t="shared" ref="I289:I305" si="84">IF(ISERR((H285-H289)/H285),"******",ROUND(-((H285-H289)/H285)*100,2))</f>
        <v>******</v>
      </c>
      <c r="J289" s="28">
        <f t="shared" ref="J289:J305" si="85">IF(B289=0,0,ROUND(E289/B289,2))</f>
        <v>114.28</v>
      </c>
      <c r="K289" s="28" t="str">
        <f t="shared" ref="K289:K305" si="86">IF(ISERR((J285-J289)/J285),"******",ROUND(-((J285-J289)/J285)*100,2))</f>
        <v>******</v>
      </c>
      <c r="L289" s="28">
        <f t="shared" ref="L289:L305" si="87">IF(B289=0,0,ROUND((D289/B289)*100,2))</f>
        <v>2.31</v>
      </c>
      <c r="M289" s="28" t="str">
        <f t="shared" ref="M289:M305" si="88">IF(ISERR((L285-L289)/L285),"******",ROUND(-((L285-L289)/L285)*100,2))</f>
        <v>******</v>
      </c>
    </row>
    <row r="290" spans="1:13" x14ac:dyDescent="0.2">
      <c r="A290" s="29" t="s">
        <v>702</v>
      </c>
      <c r="B290" s="27">
        <f t="shared" si="80"/>
        <v>24315853</v>
      </c>
      <c r="C290" s="27">
        <f t="shared" si="80"/>
        <v>390878</v>
      </c>
      <c r="D290" s="27">
        <f t="shared" si="80"/>
        <v>560357</v>
      </c>
      <c r="E290" s="27">
        <f t="shared" si="80"/>
        <v>2796209834</v>
      </c>
      <c r="F290" s="28">
        <f t="shared" si="81"/>
        <v>1.61</v>
      </c>
      <c r="G290" s="28" t="str">
        <f t="shared" si="82"/>
        <v>*****</v>
      </c>
      <c r="H290" s="27">
        <f t="shared" si="83"/>
        <v>7154</v>
      </c>
      <c r="I290" s="28" t="str">
        <f t="shared" si="84"/>
        <v>******</v>
      </c>
      <c r="J290" s="28">
        <f t="shared" si="85"/>
        <v>115</v>
      </c>
      <c r="K290" s="28" t="str">
        <f t="shared" si="86"/>
        <v>******</v>
      </c>
      <c r="L290" s="28">
        <f t="shared" si="87"/>
        <v>2.2999999999999998</v>
      </c>
      <c r="M290" s="28" t="str">
        <f t="shared" si="88"/>
        <v>******</v>
      </c>
    </row>
    <row r="291" spans="1:13" x14ac:dyDescent="0.2">
      <c r="A291" s="29" t="s">
        <v>703</v>
      </c>
      <c r="B291" s="27">
        <f t="shared" si="80"/>
        <v>24421920</v>
      </c>
      <c r="C291" s="27">
        <f t="shared" si="80"/>
        <v>390826</v>
      </c>
      <c r="D291" s="27">
        <f t="shared" si="80"/>
        <v>555374</v>
      </c>
      <c r="E291" s="27">
        <f t="shared" si="80"/>
        <v>2783735041</v>
      </c>
      <c r="F291" s="28">
        <f t="shared" si="81"/>
        <v>1.6</v>
      </c>
      <c r="G291" s="28" t="str">
        <f t="shared" si="82"/>
        <v>*****</v>
      </c>
      <c r="H291" s="27">
        <f t="shared" si="83"/>
        <v>7123</v>
      </c>
      <c r="I291" s="28" t="str">
        <f t="shared" si="84"/>
        <v>******</v>
      </c>
      <c r="J291" s="28">
        <f t="shared" si="85"/>
        <v>113.99</v>
      </c>
      <c r="K291" s="28" t="str">
        <f t="shared" si="86"/>
        <v>******</v>
      </c>
      <c r="L291" s="28">
        <f t="shared" si="87"/>
        <v>2.27</v>
      </c>
      <c r="M291" s="28" t="str">
        <f t="shared" si="88"/>
        <v>******</v>
      </c>
    </row>
    <row r="292" spans="1:13" x14ac:dyDescent="0.2">
      <c r="A292" s="29" t="s">
        <v>704</v>
      </c>
      <c r="B292" s="27">
        <f t="shared" si="80"/>
        <v>24530993</v>
      </c>
      <c r="C292" s="27">
        <f t="shared" si="80"/>
        <v>389229</v>
      </c>
      <c r="D292" s="27">
        <f t="shared" si="80"/>
        <v>545597</v>
      </c>
      <c r="E292" s="27">
        <f t="shared" si="80"/>
        <v>2794902084</v>
      </c>
      <c r="F292" s="28">
        <f t="shared" si="81"/>
        <v>1.59</v>
      </c>
      <c r="G292" s="28">
        <f t="shared" si="82"/>
        <v>-4.79</v>
      </c>
      <c r="H292" s="27">
        <f t="shared" si="83"/>
        <v>7181</v>
      </c>
      <c r="I292" s="28">
        <f t="shared" si="84"/>
        <v>4.8600000000000003</v>
      </c>
      <c r="J292" s="28">
        <f t="shared" si="85"/>
        <v>113.93</v>
      </c>
      <c r="K292" s="28">
        <f t="shared" si="86"/>
        <v>-0.32</v>
      </c>
      <c r="L292" s="28">
        <f t="shared" si="87"/>
        <v>2.2200000000000002</v>
      </c>
      <c r="M292" s="28">
        <f t="shared" si="88"/>
        <v>-4.3099999999999996</v>
      </c>
    </row>
    <row r="293" spans="1:13" x14ac:dyDescent="0.2">
      <c r="A293" s="29" t="s">
        <v>705</v>
      </c>
      <c r="B293" s="27">
        <f t="shared" si="80"/>
        <v>24654316</v>
      </c>
      <c r="C293" s="27">
        <f t="shared" si="80"/>
        <v>390830</v>
      </c>
      <c r="D293" s="27">
        <f t="shared" si="80"/>
        <v>538399</v>
      </c>
      <c r="E293" s="27">
        <f t="shared" si="80"/>
        <v>2783116316</v>
      </c>
      <c r="F293" s="28">
        <f t="shared" si="81"/>
        <v>1.59</v>
      </c>
      <c r="G293" s="28">
        <f t="shared" si="82"/>
        <v>-2.4500000000000002</v>
      </c>
      <c r="H293" s="27">
        <f t="shared" si="83"/>
        <v>7121</v>
      </c>
      <c r="I293" s="28">
        <f t="shared" si="84"/>
        <v>1.67</v>
      </c>
      <c r="J293" s="28">
        <f t="shared" si="85"/>
        <v>112.89</v>
      </c>
      <c r="K293" s="28">
        <f t="shared" si="86"/>
        <v>-1.22</v>
      </c>
      <c r="L293" s="28">
        <f t="shared" si="87"/>
        <v>2.1800000000000002</v>
      </c>
      <c r="M293" s="28">
        <f t="shared" si="88"/>
        <v>-5.63</v>
      </c>
    </row>
    <row r="294" spans="1:13" x14ac:dyDescent="0.2">
      <c r="A294" s="29" t="s">
        <v>706</v>
      </c>
      <c r="B294" s="27">
        <f t="shared" si="80"/>
        <v>24792822</v>
      </c>
      <c r="C294" s="27">
        <f t="shared" si="80"/>
        <v>390569</v>
      </c>
      <c r="D294" s="27">
        <f t="shared" si="80"/>
        <v>531072</v>
      </c>
      <c r="E294" s="27">
        <f t="shared" si="80"/>
        <v>2760837185</v>
      </c>
      <c r="F294" s="28">
        <f t="shared" si="81"/>
        <v>1.58</v>
      </c>
      <c r="G294" s="28">
        <f t="shared" si="82"/>
        <v>-1.86</v>
      </c>
      <c r="H294" s="27">
        <f t="shared" si="83"/>
        <v>7069</v>
      </c>
      <c r="I294" s="28">
        <f t="shared" si="84"/>
        <v>-1.19</v>
      </c>
      <c r="J294" s="28">
        <f t="shared" si="85"/>
        <v>111.36</v>
      </c>
      <c r="K294" s="28">
        <f t="shared" si="86"/>
        <v>-3.17</v>
      </c>
      <c r="L294" s="28">
        <f t="shared" si="87"/>
        <v>2.14</v>
      </c>
      <c r="M294" s="28">
        <f t="shared" si="88"/>
        <v>-6.96</v>
      </c>
    </row>
    <row r="295" spans="1:13" x14ac:dyDescent="0.2">
      <c r="A295" s="29" t="s">
        <v>707</v>
      </c>
      <c r="B295" s="27">
        <f t="shared" si="80"/>
        <v>24926102</v>
      </c>
      <c r="C295" s="27">
        <f t="shared" si="80"/>
        <v>381287</v>
      </c>
      <c r="D295" s="27">
        <f t="shared" si="80"/>
        <v>526306</v>
      </c>
      <c r="E295" s="27">
        <f t="shared" si="80"/>
        <v>2743014832</v>
      </c>
      <c r="F295" s="28">
        <f t="shared" si="81"/>
        <v>1.53</v>
      </c>
      <c r="G295" s="28">
        <f t="shared" si="82"/>
        <v>-4.38</v>
      </c>
      <c r="H295" s="27">
        <f t="shared" si="83"/>
        <v>7194</v>
      </c>
      <c r="I295" s="28">
        <f t="shared" si="84"/>
        <v>1</v>
      </c>
      <c r="J295" s="28">
        <f t="shared" si="85"/>
        <v>110.05</v>
      </c>
      <c r="K295" s="28">
        <f t="shared" si="86"/>
        <v>-3.46</v>
      </c>
      <c r="L295" s="28">
        <f t="shared" si="87"/>
        <v>2.11</v>
      </c>
      <c r="M295" s="28">
        <f t="shared" si="88"/>
        <v>-7.05</v>
      </c>
    </row>
    <row r="296" spans="1:13" x14ac:dyDescent="0.2">
      <c r="A296" s="29" t="s">
        <v>708</v>
      </c>
      <c r="B296" s="27">
        <f t="shared" si="80"/>
        <v>25052070</v>
      </c>
      <c r="C296" s="27">
        <f t="shared" si="80"/>
        <v>375903</v>
      </c>
      <c r="D296" s="27">
        <f t="shared" si="80"/>
        <v>524967</v>
      </c>
      <c r="E296" s="27">
        <f t="shared" si="80"/>
        <v>2765300411</v>
      </c>
      <c r="F296" s="28">
        <f t="shared" si="81"/>
        <v>1.5</v>
      </c>
      <c r="G296" s="28">
        <f t="shared" si="82"/>
        <v>-5.66</v>
      </c>
      <c r="H296" s="27">
        <f t="shared" si="83"/>
        <v>7356</v>
      </c>
      <c r="I296" s="28">
        <f t="shared" si="84"/>
        <v>2.44</v>
      </c>
      <c r="J296" s="28">
        <f t="shared" si="85"/>
        <v>110.38</v>
      </c>
      <c r="K296" s="28">
        <f t="shared" si="86"/>
        <v>-3.12</v>
      </c>
      <c r="L296" s="28">
        <f t="shared" si="87"/>
        <v>2.1</v>
      </c>
      <c r="M296" s="28">
        <f t="shared" si="88"/>
        <v>-5.41</v>
      </c>
    </row>
    <row r="297" spans="1:13" x14ac:dyDescent="0.2">
      <c r="A297" s="29" t="s">
        <v>709</v>
      </c>
      <c r="B297" s="27">
        <f t="shared" si="80"/>
        <v>25182319</v>
      </c>
      <c r="C297" s="27">
        <f t="shared" si="80"/>
        <v>371299</v>
      </c>
      <c r="D297" s="27">
        <f t="shared" si="80"/>
        <v>527966</v>
      </c>
      <c r="E297" s="27">
        <f t="shared" si="80"/>
        <v>2773487218</v>
      </c>
      <c r="F297" s="28">
        <f t="shared" si="81"/>
        <v>1.47</v>
      </c>
      <c r="G297" s="28">
        <f t="shared" si="82"/>
        <v>-7.55</v>
      </c>
      <c r="H297" s="27">
        <f t="shared" si="83"/>
        <v>7470</v>
      </c>
      <c r="I297" s="28">
        <f t="shared" si="84"/>
        <v>4.9000000000000004</v>
      </c>
      <c r="J297" s="28">
        <f t="shared" si="85"/>
        <v>110.14</v>
      </c>
      <c r="K297" s="28">
        <f t="shared" si="86"/>
        <v>-2.44</v>
      </c>
      <c r="L297" s="28">
        <f t="shared" si="87"/>
        <v>2.1</v>
      </c>
      <c r="M297" s="28">
        <f t="shared" si="88"/>
        <v>-3.67</v>
      </c>
    </row>
    <row r="298" spans="1:13" x14ac:dyDescent="0.2">
      <c r="A298" s="29" t="s">
        <v>710</v>
      </c>
      <c r="B298" s="27">
        <f t="shared" si="80"/>
        <v>25303422</v>
      </c>
      <c r="C298" s="27">
        <f t="shared" si="80"/>
        <v>368360</v>
      </c>
      <c r="D298" s="27">
        <f t="shared" si="80"/>
        <v>528697</v>
      </c>
      <c r="E298" s="27">
        <f t="shared" si="80"/>
        <v>2787258321</v>
      </c>
      <c r="F298" s="28">
        <f t="shared" si="81"/>
        <v>1.46</v>
      </c>
      <c r="G298" s="28">
        <f t="shared" si="82"/>
        <v>-7.59</v>
      </c>
      <c r="H298" s="27">
        <f t="shared" si="83"/>
        <v>7567</v>
      </c>
      <c r="I298" s="28">
        <f t="shared" si="84"/>
        <v>7.04</v>
      </c>
      <c r="J298" s="28">
        <f t="shared" si="85"/>
        <v>110.15</v>
      </c>
      <c r="K298" s="28">
        <f t="shared" si="86"/>
        <v>-1.0900000000000001</v>
      </c>
      <c r="L298" s="28">
        <f t="shared" si="87"/>
        <v>2.09</v>
      </c>
      <c r="M298" s="28">
        <f t="shared" si="88"/>
        <v>-2.34</v>
      </c>
    </row>
    <row r="299" spans="1:13" x14ac:dyDescent="0.2">
      <c r="A299" s="29" t="s">
        <v>711</v>
      </c>
      <c r="B299" s="27">
        <f t="shared" si="80"/>
        <v>25420462</v>
      </c>
      <c r="C299" s="27">
        <f t="shared" si="80"/>
        <v>366708</v>
      </c>
      <c r="D299" s="27">
        <f t="shared" si="80"/>
        <v>530613</v>
      </c>
      <c r="E299" s="27">
        <f t="shared" si="80"/>
        <v>2820312508</v>
      </c>
      <c r="F299" s="28">
        <f t="shared" si="81"/>
        <v>1.44</v>
      </c>
      <c r="G299" s="28">
        <f t="shared" si="82"/>
        <v>-5.88</v>
      </c>
      <c r="H299" s="27">
        <f t="shared" si="83"/>
        <v>7691</v>
      </c>
      <c r="I299" s="28">
        <f t="shared" si="84"/>
        <v>6.91</v>
      </c>
      <c r="J299" s="28">
        <f t="shared" si="85"/>
        <v>110.95</v>
      </c>
      <c r="K299" s="28">
        <f t="shared" si="86"/>
        <v>0.82</v>
      </c>
      <c r="L299" s="28">
        <f t="shared" si="87"/>
        <v>2.09</v>
      </c>
      <c r="M299" s="28">
        <f t="shared" si="88"/>
        <v>-0.95</v>
      </c>
    </row>
    <row r="300" spans="1:13" x14ac:dyDescent="0.2">
      <c r="A300" s="29" t="s">
        <v>712</v>
      </c>
      <c r="B300" s="27">
        <f t="shared" si="80"/>
        <v>25139304</v>
      </c>
      <c r="C300" s="27">
        <f t="shared" si="80"/>
        <v>365369</v>
      </c>
      <c r="D300" s="27">
        <f t="shared" si="80"/>
        <v>529736</v>
      </c>
      <c r="E300" s="27">
        <f t="shared" si="80"/>
        <v>2853348478</v>
      </c>
      <c r="F300" s="28">
        <f t="shared" si="81"/>
        <v>1.45</v>
      </c>
      <c r="G300" s="28">
        <f t="shared" si="82"/>
        <v>-3.33</v>
      </c>
      <c r="H300" s="27">
        <f t="shared" si="83"/>
        <v>7809</v>
      </c>
      <c r="I300" s="28">
        <f t="shared" si="84"/>
        <v>6.16</v>
      </c>
      <c r="J300" s="28">
        <f t="shared" si="85"/>
        <v>113.5</v>
      </c>
      <c r="K300" s="28">
        <f t="shared" si="86"/>
        <v>2.83</v>
      </c>
      <c r="L300" s="28">
        <f t="shared" si="87"/>
        <v>2.11</v>
      </c>
      <c r="M300" s="28">
        <f t="shared" si="88"/>
        <v>0.48</v>
      </c>
    </row>
    <row r="301" spans="1:13" x14ac:dyDescent="0.2">
      <c r="A301" s="29" t="s">
        <v>713</v>
      </c>
      <c r="B301" s="27">
        <f t="shared" si="80"/>
        <v>25260135</v>
      </c>
      <c r="C301" s="27">
        <f t="shared" si="80"/>
        <v>360931</v>
      </c>
      <c r="D301" s="27">
        <f t="shared" si="80"/>
        <v>527049</v>
      </c>
      <c r="E301" s="27">
        <f t="shared" si="80"/>
        <v>2842888158</v>
      </c>
      <c r="F301" s="28">
        <f t="shared" si="81"/>
        <v>1.43</v>
      </c>
      <c r="G301" s="28">
        <f t="shared" si="82"/>
        <v>-2.72</v>
      </c>
      <c r="H301" s="27">
        <f t="shared" si="83"/>
        <v>7877</v>
      </c>
      <c r="I301" s="28">
        <f t="shared" si="84"/>
        <v>5.45</v>
      </c>
      <c r="J301" s="28">
        <f t="shared" si="85"/>
        <v>112.54</v>
      </c>
      <c r="K301" s="28">
        <f t="shared" si="86"/>
        <v>2.1800000000000002</v>
      </c>
      <c r="L301" s="28">
        <f t="shared" si="87"/>
        <v>2.09</v>
      </c>
      <c r="M301" s="28">
        <f t="shared" si="88"/>
        <v>-0.48</v>
      </c>
    </row>
    <row r="302" spans="1:13" x14ac:dyDescent="0.2">
      <c r="A302" s="29" t="s">
        <v>714</v>
      </c>
      <c r="B302" s="27">
        <f t="shared" si="80"/>
        <v>25372883</v>
      </c>
      <c r="C302" s="27">
        <f t="shared" si="80"/>
        <v>354800</v>
      </c>
      <c r="D302" s="27">
        <f t="shared" si="80"/>
        <v>523601</v>
      </c>
      <c r="E302" s="27">
        <f t="shared" si="80"/>
        <v>2868328839</v>
      </c>
      <c r="F302" s="28">
        <f t="shared" si="81"/>
        <v>1.4</v>
      </c>
      <c r="G302" s="28">
        <f t="shared" si="82"/>
        <v>-4.1100000000000003</v>
      </c>
      <c r="H302" s="27">
        <f t="shared" si="83"/>
        <v>8084</v>
      </c>
      <c r="I302" s="28">
        <f t="shared" si="84"/>
        <v>6.83</v>
      </c>
      <c r="J302" s="28">
        <f t="shared" si="85"/>
        <v>113.05</v>
      </c>
      <c r="K302" s="28">
        <f t="shared" si="86"/>
        <v>2.63</v>
      </c>
      <c r="L302" s="28">
        <f t="shared" si="87"/>
        <v>2.06</v>
      </c>
      <c r="M302" s="28">
        <f t="shared" si="88"/>
        <v>-1.44</v>
      </c>
    </row>
    <row r="303" spans="1:13" x14ac:dyDescent="0.2">
      <c r="A303" s="29" t="s">
        <v>715</v>
      </c>
      <c r="B303" s="27">
        <f t="shared" si="80"/>
        <v>25477147</v>
      </c>
      <c r="C303" s="27">
        <f t="shared" si="80"/>
        <v>351077</v>
      </c>
      <c r="D303" s="27">
        <f t="shared" si="80"/>
        <v>518652</v>
      </c>
      <c r="E303" s="27">
        <f t="shared" si="80"/>
        <v>2886366128</v>
      </c>
      <c r="F303" s="28">
        <f t="shared" si="81"/>
        <v>1.38</v>
      </c>
      <c r="G303" s="28">
        <f t="shared" si="82"/>
        <v>-4.17</v>
      </c>
      <c r="H303" s="27">
        <f t="shared" si="83"/>
        <v>8221</v>
      </c>
      <c r="I303" s="28">
        <f t="shared" si="84"/>
        <v>6.89</v>
      </c>
      <c r="J303" s="28">
        <f t="shared" si="85"/>
        <v>113.29</v>
      </c>
      <c r="K303" s="28">
        <f t="shared" si="86"/>
        <v>2.11</v>
      </c>
      <c r="L303" s="28">
        <f t="shared" si="87"/>
        <v>2.04</v>
      </c>
      <c r="M303" s="28">
        <f t="shared" si="88"/>
        <v>-2.39</v>
      </c>
    </row>
    <row r="304" spans="1:13" x14ac:dyDescent="0.2">
      <c r="A304" s="29" t="s">
        <v>716</v>
      </c>
      <c r="B304" s="27">
        <f t="shared" ref="B304:E305" si="89">SUM(B275:B278)</f>
        <v>25967503</v>
      </c>
      <c r="C304" s="27">
        <f t="shared" si="89"/>
        <v>350959</v>
      </c>
      <c r="D304" s="27">
        <f t="shared" si="89"/>
        <v>521888</v>
      </c>
      <c r="E304" s="27">
        <f t="shared" si="89"/>
        <v>2921316732</v>
      </c>
      <c r="F304" s="28">
        <f t="shared" si="81"/>
        <v>1.35</v>
      </c>
      <c r="G304" s="28">
        <f t="shared" si="82"/>
        <v>-6.9</v>
      </c>
      <c r="H304" s="27">
        <f t="shared" si="83"/>
        <v>8324</v>
      </c>
      <c r="I304" s="28">
        <f t="shared" si="84"/>
        <v>6.59</v>
      </c>
      <c r="J304" s="28">
        <f t="shared" si="85"/>
        <v>112.5</v>
      </c>
      <c r="K304" s="28">
        <f t="shared" si="86"/>
        <v>-0.88</v>
      </c>
      <c r="L304" s="28">
        <f t="shared" si="87"/>
        <v>2.0099999999999998</v>
      </c>
      <c r="M304" s="28">
        <f t="shared" si="88"/>
        <v>-4.74</v>
      </c>
    </row>
    <row r="305" spans="1:13" x14ac:dyDescent="0.2">
      <c r="A305" s="29" t="s">
        <v>717</v>
      </c>
      <c r="B305" s="27">
        <f t="shared" si="89"/>
        <v>26014072</v>
      </c>
      <c r="C305" s="27">
        <f t="shared" si="89"/>
        <v>353264</v>
      </c>
      <c r="D305" s="27">
        <f t="shared" si="89"/>
        <v>524370</v>
      </c>
      <c r="E305" s="27">
        <f t="shared" si="89"/>
        <v>3022877196</v>
      </c>
      <c r="F305" s="28">
        <f t="shared" si="81"/>
        <v>1.36</v>
      </c>
      <c r="G305" s="28">
        <f t="shared" si="82"/>
        <v>-4.9000000000000004</v>
      </c>
      <c r="H305" s="27">
        <f t="shared" si="83"/>
        <v>8557</v>
      </c>
      <c r="I305" s="28">
        <f t="shared" si="84"/>
        <v>8.6300000000000008</v>
      </c>
      <c r="J305" s="28">
        <f t="shared" si="85"/>
        <v>116.2</v>
      </c>
      <c r="K305" s="28">
        <f t="shared" si="86"/>
        <v>3.25</v>
      </c>
      <c r="L305" s="28">
        <f t="shared" si="87"/>
        <v>2.02</v>
      </c>
      <c r="M305" s="28">
        <f t="shared" si="88"/>
        <v>-3.35</v>
      </c>
    </row>
    <row r="306" spans="1:13" x14ac:dyDescent="0.2">
      <c r="A306" s="29" t="s">
        <v>718</v>
      </c>
    </row>
    <row r="307" spans="1:13" x14ac:dyDescent="0.2">
      <c r="A307" s="29" t="s">
        <v>719</v>
      </c>
    </row>
    <row r="309" spans="1:13" x14ac:dyDescent="0.2">
      <c r="A309" s="29" t="s">
        <v>750</v>
      </c>
    </row>
    <row r="310" spans="1:13" x14ac:dyDescent="0.2">
      <c r="A310" s="29" t="s">
        <v>743</v>
      </c>
    </row>
    <row r="311" spans="1:13" x14ac:dyDescent="0.2">
      <c r="A311" s="29" t="s">
        <v>86</v>
      </c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2"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2"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2"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2"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2"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2"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2"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2"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2">
      <c r="B320"/>
      <c r="C320"/>
      <c r="D320"/>
      <c r="E320"/>
      <c r="F320"/>
      <c r="G320"/>
      <c r="H320"/>
      <c r="I320"/>
      <c r="J320"/>
      <c r="K320"/>
      <c r="L320"/>
      <c r="M320"/>
    </row>
    <row r="321" spans="2:13" x14ac:dyDescent="0.2">
      <c r="B321" s="27" t="str">
        <f>IF(_PPI1="","",VLOOKUP($A11&amp;"PPI"&amp;State2,Sheet5!$A$2:$I$295,2,FALSE))</f>
        <v/>
      </c>
      <c r="C321" s="27" t="str">
        <f>IF(_PPI1="","",VLOOKUP($A11&amp;"PPI"&amp;State2,Sheet5!$A$2:$I$295,3,FALSE))</f>
        <v/>
      </c>
      <c r="D321" s="27" t="str">
        <f>IF(_PPI1="","",VLOOKUP($A11&amp;"PPI"&amp;State2,Sheet5!$A$2:$I$295,4,FALSE))</f>
        <v/>
      </c>
      <c r="E321" s="27" t="str">
        <f>IF(_PPI1="","",VLOOKUP($A11&amp;"PPI"&amp;State2,Sheet5!$A$2:$I$295,5,FALSE))</f>
        <v/>
      </c>
      <c r="F321" s="28" t="str">
        <f t="shared" ref="F321:F341" si="90">IF(_PPI1="","",IF(B321=0,0,ROUND((C321/B321)*100,2)))</f>
        <v/>
      </c>
      <c r="G321" s="28" t="str">
        <f>IF(_PPI1="","",IF(ISERR((#REF!-F321)/#REF!),"*****",ROUND(-((#REF!-F321)/#REF!)*100,2)))</f>
        <v/>
      </c>
      <c r="H321" s="27" t="str">
        <f t="shared" ref="H321:H341" si="91">IF(_PPI1="","",IF(C321=0,0,ROUND(E321/C321,0)))</f>
        <v/>
      </c>
      <c r="I321" s="28" t="str">
        <f>IF(_PPI1="","",IF(ISERR((#REF!-H321)/#REF!),"******",ROUND(-((#REF!-H321)/#REF!)*100,2)))</f>
        <v/>
      </c>
      <c r="J321" s="28" t="str">
        <f t="shared" ref="J321:J341" si="92">IF(_PPI1="","",IF(B321=0,0,ROUND(E321/B321,2)))</f>
        <v/>
      </c>
      <c r="K321" s="28" t="str">
        <f>IF(_PPI1="","",IF(ISERR((#REF!-J321)/#REF!),"******",ROUND(-((#REF!-J321)/#REF!)*100,2)))</f>
        <v/>
      </c>
      <c r="L321" s="28" t="str">
        <f t="shared" ref="L321:L341" si="93">IF(_PPI1="","",IF(B321=0,0,ROUND((D321/B321)*100,2)))</f>
        <v/>
      </c>
      <c r="M321" s="28" t="str">
        <f>IF(_PPI1="","",IF(ISERR((#REF!-L321)/#REF!),"******",ROUND(-((#REF!-L321)/#REF!)*100,2)))</f>
        <v/>
      </c>
    </row>
    <row r="322" spans="2:13" x14ac:dyDescent="0.2">
      <c r="B322" s="27" t="str">
        <f>IF(_PPI1="","",VLOOKUP($A12&amp;"PPI"&amp;State2,Sheet5!$A$2:$I$295,2,FALSE))</f>
        <v/>
      </c>
      <c r="C322" s="27" t="str">
        <f>IF(_PPI1="","",VLOOKUP($A12&amp;"PPI"&amp;State2,Sheet5!$A$2:$I$295,3,FALSE))</f>
        <v/>
      </c>
      <c r="D322" s="27" t="str">
        <f>IF(_PPI1="","",VLOOKUP($A12&amp;"PPI"&amp;State2,Sheet5!$A$2:$I$295,4,FALSE))</f>
        <v/>
      </c>
      <c r="E322" s="27" t="str">
        <f>IF(_PPI1="","",VLOOKUP($A12&amp;"PPI"&amp;State2,Sheet5!$A$2:$I$295,5,FALSE))</f>
        <v/>
      </c>
      <c r="F322" s="28" t="str">
        <f t="shared" si="90"/>
        <v/>
      </c>
      <c r="G322" s="28" t="str">
        <f>IF(_PPI1="","",IF(ISERR((#REF!-F322)/#REF!),"*****",ROUND(-((#REF!-F322)/#REF!)*100,2)))</f>
        <v/>
      </c>
      <c r="H322" s="27" t="str">
        <f t="shared" si="91"/>
        <v/>
      </c>
      <c r="I322" s="28" t="str">
        <f>IF(_PPI1="","",IF(ISERR((#REF!-H322)/#REF!),"******",ROUND(-((#REF!-H322)/#REF!)*100,2)))</f>
        <v/>
      </c>
      <c r="J322" s="28" t="str">
        <f t="shared" si="92"/>
        <v/>
      </c>
      <c r="K322" s="28" t="str">
        <f>IF(_PPI1="","",IF(ISERR((#REF!-J322)/#REF!),"******",ROUND(-((#REF!-J322)/#REF!)*100,2)))</f>
        <v/>
      </c>
      <c r="L322" s="28" t="str">
        <f t="shared" si="93"/>
        <v/>
      </c>
      <c r="M322" s="28" t="str">
        <f>IF(_PPI1="","",IF(ISERR((#REF!-L322)/#REF!),"******",ROUND(-((#REF!-L322)/#REF!)*100,2)))</f>
        <v/>
      </c>
    </row>
    <row r="323" spans="2:13" x14ac:dyDescent="0.2">
      <c r="B323" s="27" t="str">
        <f>IF(_PPI1="","",VLOOKUP($A13&amp;"PPI"&amp;State2,Sheet5!$A$2:$I$295,2,FALSE))</f>
        <v/>
      </c>
      <c r="C323" s="27" t="str">
        <f>IF(_PPI1="","",VLOOKUP($A13&amp;"PPI"&amp;State2,Sheet5!$A$2:$I$295,3,FALSE))</f>
        <v/>
      </c>
      <c r="D323" s="27" t="str">
        <f>IF(_PPI1="","",VLOOKUP($A13&amp;"PPI"&amp;State2,Sheet5!$A$2:$I$295,4,FALSE))</f>
        <v/>
      </c>
      <c r="E323" s="27" t="str">
        <f>IF(_PPI1="","",VLOOKUP($A13&amp;"PPI"&amp;State2,Sheet5!$A$2:$I$295,5,FALSE))</f>
        <v/>
      </c>
      <c r="F323" s="28" t="str">
        <f t="shared" si="90"/>
        <v/>
      </c>
      <c r="G323" s="28" t="str">
        <f>IF(_PPI1="","",IF(ISERR((#REF!-F323)/#REF!),"*****",ROUND(-((#REF!-F323)/#REF!)*100,2)))</f>
        <v/>
      </c>
      <c r="H323" s="27" t="str">
        <f t="shared" si="91"/>
        <v/>
      </c>
      <c r="I323" s="28" t="str">
        <f>IF(_PPI1="","",IF(ISERR((#REF!-H323)/#REF!),"******",ROUND(-((#REF!-H323)/#REF!)*100,2)))</f>
        <v/>
      </c>
      <c r="J323" s="28" t="str">
        <f t="shared" si="92"/>
        <v/>
      </c>
      <c r="K323" s="28" t="str">
        <f>IF(_PPI1="","",IF(ISERR((#REF!-J323)/#REF!),"******",ROUND(-((#REF!-J323)/#REF!)*100,2)))</f>
        <v/>
      </c>
      <c r="L323" s="28" t="str">
        <f t="shared" si="93"/>
        <v/>
      </c>
      <c r="M323" s="28" t="str">
        <f>IF(_PPI1="","",IF(ISERR((#REF!-L323)/#REF!),"******",ROUND(-((#REF!-L323)/#REF!)*100,2)))</f>
        <v/>
      </c>
    </row>
    <row r="324" spans="2:13" x14ac:dyDescent="0.2">
      <c r="B324" s="27" t="str">
        <f>IF(_PPI1="","",VLOOKUP($A14&amp;"PPI"&amp;State2,Sheet5!$A$2:$I$295,2,FALSE))</f>
        <v/>
      </c>
      <c r="C324" s="27" t="str">
        <f>IF(_PPI1="","",VLOOKUP($A14&amp;"PPI"&amp;State2,Sheet5!$A$2:$I$295,3,FALSE))</f>
        <v/>
      </c>
      <c r="D324" s="27" t="str">
        <f>IF(_PPI1="","",VLOOKUP($A14&amp;"PPI"&amp;State2,Sheet5!$A$2:$I$295,4,FALSE))</f>
        <v/>
      </c>
      <c r="E324" s="27" t="str">
        <f>IF(_PPI1="","",VLOOKUP($A14&amp;"PPI"&amp;State2,Sheet5!$A$2:$I$295,5,FALSE))</f>
        <v/>
      </c>
      <c r="F324" s="28" t="str">
        <f t="shared" si="90"/>
        <v/>
      </c>
      <c r="G324" s="28" t="str">
        <f>IF(_PPI1="","",IF(ISERR((#REF!-F324)/#REF!),"*****",ROUND(-((#REF!-F324)/#REF!)*100,2)))</f>
        <v/>
      </c>
      <c r="H324" s="27" t="str">
        <f t="shared" si="91"/>
        <v/>
      </c>
      <c r="I324" s="28" t="str">
        <f>IF(_PPI1="","",IF(ISERR((#REF!-H324)/#REF!),"******",ROUND(-((#REF!-H324)/#REF!)*100,2)))</f>
        <v/>
      </c>
      <c r="J324" s="28" t="str">
        <f t="shared" si="92"/>
        <v/>
      </c>
      <c r="K324" s="28" t="str">
        <f>IF(_PPI1="","",IF(ISERR((#REF!-J324)/#REF!),"******",ROUND(-((#REF!-J324)/#REF!)*100,2)))</f>
        <v/>
      </c>
      <c r="L324" s="28" t="str">
        <f t="shared" si="93"/>
        <v/>
      </c>
      <c r="M324" s="28" t="str">
        <f>IF(_PPI1="","",IF(ISERR((#REF!-L324)/#REF!),"******",ROUND(-((#REF!-L324)/#REF!)*100,2)))</f>
        <v/>
      </c>
    </row>
    <row r="325" spans="2:13" x14ac:dyDescent="0.2">
      <c r="B325" s="27" t="str">
        <f>IF(_PPI1="","",VLOOKUP($A15&amp;"PPI"&amp;State2,Sheet5!$A$2:$I$295,2,FALSE))</f>
        <v/>
      </c>
      <c r="C325" s="27" t="str">
        <f>IF(_PPI1="","",VLOOKUP($A15&amp;"PPI"&amp;State2,Sheet5!$A$2:$I$295,3,FALSE))</f>
        <v/>
      </c>
      <c r="D325" s="27" t="str">
        <f>IF(_PPI1="","",VLOOKUP($A15&amp;"PPI"&amp;State2,Sheet5!$A$2:$I$295,4,FALSE))</f>
        <v/>
      </c>
      <c r="E325" s="27" t="str">
        <f>IF(_PPI1="","",VLOOKUP($A15&amp;"PPI"&amp;State2,Sheet5!$A$2:$I$295,5,FALSE))</f>
        <v/>
      </c>
      <c r="F325" s="28" t="str">
        <f t="shared" si="90"/>
        <v/>
      </c>
      <c r="G325" s="28" t="str">
        <f t="shared" ref="G325:G341" si="94">IF(_PPI1="","",IF(ISERR((F321-F325)/F321),"*****",ROUND(-((F321-F325)/F321)*100,2)))</f>
        <v/>
      </c>
      <c r="H325" s="27" t="str">
        <f t="shared" si="91"/>
        <v/>
      </c>
      <c r="I325" s="28" t="str">
        <f t="shared" ref="I325:I341" si="95">IF(_PPI1="","",IF(ISERR((H321-H325)/H321),"******",ROUND(-((H321-H325)/H321)*100,2)))</f>
        <v/>
      </c>
      <c r="J325" s="28" t="str">
        <f t="shared" si="92"/>
        <v/>
      </c>
      <c r="K325" s="28" t="str">
        <f t="shared" ref="K325:K341" si="96">IF(_PPI1="","",IF(ISERR((J321-J325)/J321),"******",ROUND(-((J321-J325)/J321)*100,2)))</f>
        <v/>
      </c>
      <c r="L325" s="28" t="str">
        <f t="shared" si="93"/>
        <v/>
      </c>
      <c r="M325" s="28" t="str">
        <f t="shared" ref="M325:M341" si="97">IF(_PPI1="","",IF(ISERR((L321-L325)/L321),"******",ROUND(-((L321-L325)/L321)*100,2)))</f>
        <v/>
      </c>
    </row>
    <row r="326" spans="2:13" x14ac:dyDescent="0.2">
      <c r="B326" s="27" t="str">
        <f>IF(_PPI1="","",VLOOKUP($A16&amp;"PPI"&amp;State2,Sheet5!$A$2:$I$295,2,FALSE))</f>
        <v/>
      </c>
      <c r="C326" s="27" t="str">
        <f>IF(_PPI1="","",VLOOKUP($A16&amp;"PPI"&amp;State2,Sheet5!$A$2:$I$295,3,FALSE))</f>
        <v/>
      </c>
      <c r="D326" s="27" t="str">
        <f>IF(_PPI1="","",VLOOKUP($A16&amp;"PPI"&amp;State2,Sheet5!$A$2:$I$295,4,FALSE))</f>
        <v/>
      </c>
      <c r="E326" s="27" t="str">
        <f>IF(_PPI1="","",VLOOKUP($A16&amp;"PPI"&amp;State2,Sheet5!$A$2:$I$295,5,FALSE))</f>
        <v/>
      </c>
      <c r="F326" s="28" t="str">
        <f t="shared" si="90"/>
        <v/>
      </c>
      <c r="G326" s="28" t="str">
        <f t="shared" si="94"/>
        <v/>
      </c>
      <c r="H326" s="27" t="str">
        <f t="shared" si="91"/>
        <v/>
      </c>
      <c r="I326" s="28" t="str">
        <f t="shared" si="95"/>
        <v/>
      </c>
      <c r="J326" s="28" t="str">
        <f t="shared" si="92"/>
        <v/>
      </c>
      <c r="K326" s="28" t="str">
        <f t="shared" si="96"/>
        <v/>
      </c>
      <c r="L326" s="28" t="str">
        <f t="shared" si="93"/>
        <v/>
      </c>
      <c r="M326" s="28" t="str">
        <f t="shared" si="97"/>
        <v/>
      </c>
    </row>
    <row r="327" spans="2:13" x14ac:dyDescent="0.2">
      <c r="B327" s="27" t="str">
        <f>IF(_PPI1="","",VLOOKUP($A17&amp;"PPI"&amp;State2,Sheet5!$A$2:$I$295,2,FALSE))</f>
        <v/>
      </c>
      <c r="C327" s="27" t="str">
        <f>IF(_PPI1="","",VLOOKUP($A17&amp;"PPI"&amp;State2,Sheet5!$A$2:$I$295,3,FALSE))</f>
        <v/>
      </c>
      <c r="D327" s="27" t="str">
        <f>IF(_PPI1="","",VLOOKUP($A17&amp;"PPI"&amp;State2,Sheet5!$A$2:$I$295,4,FALSE))</f>
        <v/>
      </c>
      <c r="E327" s="27" t="str">
        <f>IF(_PPI1="","",VLOOKUP($A17&amp;"PPI"&amp;State2,Sheet5!$A$2:$I$295,5,FALSE))</f>
        <v/>
      </c>
      <c r="F327" s="28" t="str">
        <f t="shared" si="90"/>
        <v/>
      </c>
      <c r="G327" s="28" t="str">
        <f t="shared" si="94"/>
        <v/>
      </c>
      <c r="H327" s="27" t="str">
        <f t="shared" si="91"/>
        <v/>
      </c>
      <c r="I327" s="28" t="str">
        <f t="shared" si="95"/>
        <v/>
      </c>
      <c r="J327" s="28" t="str">
        <f t="shared" si="92"/>
        <v/>
      </c>
      <c r="K327" s="28" t="str">
        <f t="shared" si="96"/>
        <v/>
      </c>
      <c r="L327" s="28" t="str">
        <f t="shared" si="93"/>
        <v/>
      </c>
      <c r="M327" s="28" t="str">
        <f t="shared" si="97"/>
        <v/>
      </c>
    </row>
    <row r="328" spans="2:13" x14ac:dyDescent="0.2">
      <c r="B328" s="27" t="str">
        <f>IF(_PPI1="","",VLOOKUP($A18&amp;"PPI"&amp;State2,Sheet5!$A$2:$I$295,2,FALSE))</f>
        <v/>
      </c>
      <c r="C328" s="27" t="str">
        <f>IF(_PPI1="","",VLOOKUP($A18&amp;"PPI"&amp;State2,Sheet5!$A$2:$I$295,3,FALSE))</f>
        <v/>
      </c>
      <c r="D328" s="27" t="str">
        <f>IF(_PPI1="","",VLOOKUP($A18&amp;"PPI"&amp;State2,Sheet5!$A$2:$I$295,4,FALSE))</f>
        <v/>
      </c>
      <c r="E328" s="27" t="str">
        <f>IF(_PPI1="","",VLOOKUP($A18&amp;"PPI"&amp;State2,Sheet5!$A$2:$I$295,5,FALSE))</f>
        <v/>
      </c>
      <c r="F328" s="28" t="str">
        <f t="shared" si="90"/>
        <v/>
      </c>
      <c r="G328" s="28" t="str">
        <f t="shared" si="94"/>
        <v/>
      </c>
      <c r="H328" s="27" t="str">
        <f t="shared" si="91"/>
        <v/>
      </c>
      <c r="I328" s="28" t="str">
        <f t="shared" si="95"/>
        <v/>
      </c>
      <c r="J328" s="28" t="str">
        <f t="shared" si="92"/>
        <v/>
      </c>
      <c r="K328" s="28" t="str">
        <f t="shared" si="96"/>
        <v/>
      </c>
      <c r="L328" s="28" t="str">
        <f t="shared" si="93"/>
        <v/>
      </c>
      <c r="M328" s="28" t="str">
        <f t="shared" si="97"/>
        <v/>
      </c>
    </row>
    <row r="329" spans="2:13" x14ac:dyDescent="0.2">
      <c r="B329" s="27" t="str">
        <f>IF(_PPI1="","",VLOOKUP($A19&amp;"PPI"&amp;State2,Sheet5!$A$2:$I$295,2,FALSE))</f>
        <v/>
      </c>
      <c r="C329" s="27" t="str">
        <f>IF(_PPI1="","",VLOOKUP($A19&amp;"PPI"&amp;State2,Sheet5!$A$2:$I$295,3,FALSE))</f>
        <v/>
      </c>
      <c r="D329" s="27" t="str">
        <f>IF(_PPI1="","",VLOOKUP($A19&amp;"PPI"&amp;State2,Sheet5!$A$2:$I$295,4,FALSE))</f>
        <v/>
      </c>
      <c r="E329" s="27" t="str">
        <f>IF(_PPI1="","",VLOOKUP($A19&amp;"PPI"&amp;State2,Sheet5!$A$2:$I$295,5,FALSE))</f>
        <v/>
      </c>
      <c r="F329" s="28" t="str">
        <f t="shared" si="90"/>
        <v/>
      </c>
      <c r="G329" s="28" t="str">
        <f t="shared" si="94"/>
        <v/>
      </c>
      <c r="H329" s="27" t="str">
        <f t="shared" si="91"/>
        <v/>
      </c>
      <c r="I329" s="28" t="str">
        <f t="shared" si="95"/>
        <v/>
      </c>
      <c r="J329" s="28" t="str">
        <f t="shared" si="92"/>
        <v/>
      </c>
      <c r="K329" s="28" t="str">
        <f t="shared" si="96"/>
        <v/>
      </c>
      <c r="L329" s="28" t="str">
        <f t="shared" si="93"/>
        <v/>
      </c>
      <c r="M329" s="28" t="str">
        <f t="shared" si="97"/>
        <v/>
      </c>
    </row>
    <row r="330" spans="2:13" x14ac:dyDescent="0.2">
      <c r="B330" s="27" t="str">
        <f>IF(_PPI1="","",VLOOKUP($A20&amp;"PPI"&amp;State2,Sheet5!$A$2:$I$295,2,FALSE))</f>
        <v/>
      </c>
      <c r="C330" s="27" t="str">
        <f>IF(_PPI1="","",VLOOKUP($A20&amp;"PPI"&amp;State2,Sheet5!$A$2:$I$295,3,FALSE))</f>
        <v/>
      </c>
      <c r="D330" s="27" t="str">
        <f>IF(_PPI1="","",VLOOKUP($A20&amp;"PPI"&amp;State2,Sheet5!$A$2:$I$295,4,FALSE))</f>
        <v/>
      </c>
      <c r="E330" s="27" t="str">
        <f>IF(_PPI1="","",VLOOKUP($A20&amp;"PPI"&amp;State2,Sheet5!$A$2:$I$295,5,FALSE))</f>
        <v/>
      </c>
      <c r="F330" s="28" t="str">
        <f t="shared" si="90"/>
        <v/>
      </c>
      <c r="G330" s="28" t="str">
        <f t="shared" si="94"/>
        <v/>
      </c>
      <c r="H330" s="27" t="str">
        <f t="shared" si="91"/>
        <v/>
      </c>
      <c r="I330" s="28" t="str">
        <f t="shared" si="95"/>
        <v/>
      </c>
      <c r="J330" s="28" t="str">
        <f t="shared" si="92"/>
        <v/>
      </c>
      <c r="K330" s="28" t="str">
        <f t="shared" si="96"/>
        <v/>
      </c>
      <c r="L330" s="28" t="str">
        <f t="shared" si="93"/>
        <v/>
      </c>
      <c r="M330" s="28" t="str">
        <f t="shared" si="97"/>
        <v/>
      </c>
    </row>
    <row r="331" spans="2:13" x14ac:dyDescent="0.2">
      <c r="B331" s="27" t="str">
        <f>IF(_PPI1="","",VLOOKUP($A21&amp;"PPI"&amp;State2,Sheet5!$A$2:$I$295,2,FALSE))</f>
        <v/>
      </c>
      <c r="C331" s="27" t="str">
        <f>IF(_PPI1="","",VLOOKUP($A21&amp;"PPI"&amp;State2,Sheet5!$A$2:$I$295,3,FALSE))</f>
        <v/>
      </c>
      <c r="D331" s="27" t="str">
        <f>IF(_PPI1="","",VLOOKUP($A21&amp;"PPI"&amp;State2,Sheet5!$A$2:$I$295,4,FALSE))</f>
        <v/>
      </c>
      <c r="E331" s="27" t="str">
        <f>IF(_PPI1="","",VLOOKUP($A21&amp;"PPI"&amp;State2,Sheet5!$A$2:$I$295,5,FALSE))</f>
        <v/>
      </c>
      <c r="F331" s="28" t="str">
        <f t="shared" si="90"/>
        <v/>
      </c>
      <c r="G331" s="28" t="str">
        <f t="shared" si="94"/>
        <v/>
      </c>
      <c r="H331" s="27" t="str">
        <f t="shared" si="91"/>
        <v/>
      </c>
      <c r="I331" s="28" t="str">
        <f t="shared" si="95"/>
        <v/>
      </c>
      <c r="J331" s="28" t="str">
        <f t="shared" si="92"/>
        <v/>
      </c>
      <c r="K331" s="28" t="str">
        <f t="shared" si="96"/>
        <v/>
      </c>
      <c r="L331" s="28" t="str">
        <f t="shared" si="93"/>
        <v/>
      </c>
      <c r="M331" s="28" t="str">
        <f t="shared" si="97"/>
        <v/>
      </c>
    </row>
    <row r="332" spans="2:13" x14ac:dyDescent="0.2">
      <c r="B332" s="27" t="str">
        <f>IF(_PPI1="","",VLOOKUP($A22&amp;"PPI"&amp;State2,Sheet5!$A$2:$I$295,2,FALSE))</f>
        <v/>
      </c>
      <c r="C332" s="27" t="str">
        <f>IF(_PPI1="","",VLOOKUP($A22&amp;"PPI"&amp;State2,Sheet5!$A$2:$I$295,3,FALSE))</f>
        <v/>
      </c>
      <c r="D332" s="27" t="str">
        <f>IF(_PPI1="","",VLOOKUP($A22&amp;"PPI"&amp;State2,Sheet5!$A$2:$I$295,4,FALSE))</f>
        <v/>
      </c>
      <c r="E332" s="27" t="str">
        <f>IF(_PPI1="","",VLOOKUP($A22&amp;"PPI"&amp;State2,Sheet5!$A$2:$I$295,5,FALSE))</f>
        <v/>
      </c>
      <c r="F332" s="28" t="str">
        <f t="shared" si="90"/>
        <v/>
      </c>
      <c r="G332" s="28" t="str">
        <f t="shared" si="94"/>
        <v/>
      </c>
      <c r="H332" s="27" t="str">
        <f t="shared" si="91"/>
        <v/>
      </c>
      <c r="I332" s="28" t="str">
        <f t="shared" si="95"/>
        <v/>
      </c>
      <c r="J332" s="28" t="str">
        <f t="shared" si="92"/>
        <v/>
      </c>
      <c r="K332" s="28" t="str">
        <f t="shared" si="96"/>
        <v/>
      </c>
      <c r="L332" s="28" t="str">
        <f t="shared" si="93"/>
        <v/>
      </c>
      <c r="M332" s="28" t="str">
        <f t="shared" si="97"/>
        <v/>
      </c>
    </row>
    <row r="333" spans="2:13" x14ac:dyDescent="0.2">
      <c r="B333" s="27" t="str">
        <f>IF(_PPI1="","",VLOOKUP($A23&amp;"PPI"&amp;State2,Sheet5!$A$2:$I$295,2,FALSE))</f>
        <v/>
      </c>
      <c r="C333" s="27" t="str">
        <f>IF(_PPI1="","",VLOOKUP($A23&amp;"PPI"&amp;State2,Sheet5!$A$2:$I$295,3,FALSE))</f>
        <v/>
      </c>
      <c r="D333" s="27" t="str">
        <f>IF(_PPI1="","",VLOOKUP($A23&amp;"PPI"&amp;State2,Sheet5!$A$2:$I$295,4,FALSE))</f>
        <v/>
      </c>
      <c r="E333" s="27" t="str">
        <f>IF(_PPI1="","",VLOOKUP($A23&amp;"PPI"&amp;State2,Sheet5!$A$2:$I$295,5,FALSE))</f>
        <v/>
      </c>
      <c r="F333" s="28" t="str">
        <f t="shared" si="90"/>
        <v/>
      </c>
      <c r="G333" s="28" t="str">
        <f t="shared" si="94"/>
        <v/>
      </c>
      <c r="H333" s="27" t="str">
        <f t="shared" si="91"/>
        <v/>
      </c>
      <c r="I333" s="28" t="str">
        <f t="shared" si="95"/>
        <v/>
      </c>
      <c r="J333" s="28" t="str">
        <f t="shared" si="92"/>
        <v/>
      </c>
      <c r="K333" s="28" t="str">
        <f t="shared" si="96"/>
        <v/>
      </c>
      <c r="L333" s="28" t="str">
        <f t="shared" si="93"/>
        <v/>
      </c>
      <c r="M333" s="28" t="str">
        <f t="shared" si="97"/>
        <v/>
      </c>
    </row>
    <row r="334" spans="2:13" x14ac:dyDescent="0.2">
      <c r="B334" s="27" t="str">
        <f>IF(_PPI1="","",VLOOKUP($A24&amp;"PPI"&amp;State2,Sheet5!$A$2:$I$295,2,FALSE))</f>
        <v/>
      </c>
      <c r="C334" s="27" t="str">
        <f>IF(_PPI1="","",VLOOKUP($A24&amp;"PPI"&amp;State2,Sheet5!$A$2:$I$295,3,FALSE))</f>
        <v/>
      </c>
      <c r="D334" s="27" t="str">
        <f>IF(_PPI1="","",VLOOKUP($A24&amp;"PPI"&amp;State2,Sheet5!$A$2:$I$295,4,FALSE))</f>
        <v/>
      </c>
      <c r="E334" s="27" t="str">
        <f>IF(_PPI1="","",VLOOKUP($A24&amp;"PPI"&amp;State2,Sheet5!$A$2:$I$295,5,FALSE))</f>
        <v/>
      </c>
      <c r="F334" s="28" t="str">
        <f t="shared" si="90"/>
        <v/>
      </c>
      <c r="G334" s="28" t="str">
        <f t="shared" si="94"/>
        <v/>
      </c>
      <c r="H334" s="27" t="str">
        <f t="shared" si="91"/>
        <v/>
      </c>
      <c r="I334" s="28" t="str">
        <f t="shared" si="95"/>
        <v/>
      </c>
      <c r="J334" s="28" t="str">
        <f t="shared" si="92"/>
        <v/>
      </c>
      <c r="K334" s="28" t="str">
        <f t="shared" si="96"/>
        <v/>
      </c>
      <c r="L334" s="28" t="str">
        <f t="shared" si="93"/>
        <v/>
      </c>
      <c r="M334" s="28" t="str">
        <f t="shared" si="97"/>
        <v/>
      </c>
    </row>
    <row r="335" spans="2:13" x14ac:dyDescent="0.2">
      <c r="B335" s="27" t="str">
        <f>IF(_PPI1="","",VLOOKUP($A25&amp;"PPI"&amp;State2,Sheet5!$A$2:$I$295,2,FALSE))</f>
        <v/>
      </c>
      <c r="C335" s="27" t="str">
        <f>IF(_PPI1="","",VLOOKUP($A25&amp;"PPI"&amp;State2,Sheet5!$A$2:$I$295,3,FALSE))</f>
        <v/>
      </c>
      <c r="D335" s="27" t="str">
        <f>IF(_PPI1="","",VLOOKUP($A25&amp;"PPI"&amp;State2,Sheet5!$A$2:$I$295,4,FALSE))</f>
        <v/>
      </c>
      <c r="E335" s="27" t="str">
        <f>IF(_PPI1="","",VLOOKUP($A25&amp;"PPI"&amp;State2,Sheet5!$A$2:$I$295,5,FALSE))</f>
        <v/>
      </c>
      <c r="F335" s="28" t="str">
        <f t="shared" si="90"/>
        <v/>
      </c>
      <c r="G335" s="28" t="str">
        <f t="shared" si="94"/>
        <v/>
      </c>
      <c r="H335" s="27" t="str">
        <f t="shared" si="91"/>
        <v/>
      </c>
      <c r="I335" s="28" t="str">
        <f t="shared" si="95"/>
        <v/>
      </c>
      <c r="J335" s="28" t="str">
        <f t="shared" si="92"/>
        <v/>
      </c>
      <c r="K335" s="28" t="str">
        <f t="shared" si="96"/>
        <v/>
      </c>
      <c r="L335" s="28" t="str">
        <f t="shared" si="93"/>
        <v/>
      </c>
      <c r="M335" s="28" t="str">
        <f t="shared" si="97"/>
        <v/>
      </c>
    </row>
    <row r="336" spans="2:13" x14ac:dyDescent="0.2">
      <c r="B336" s="27" t="str">
        <f>IF(_PPI1="","",VLOOKUP($A26&amp;"PPI"&amp;State2,Sheet5!$A$2:$I$295,2,FALSE))</f>
        <v/>
      </c>
      <c r="C336" s="27" t="str">
        <f>IF(_PPI1="","",VLOOKUP($A26&amp;"PPI"&amp;State2,Sheet5!$A$2:$I$295,3,FALSE))</f>
        <v/>
      </c>
      <c r="D336" s="27" t="str">
        <f>IF(_PPI1="","",VLOOKUP($A26&amp;"PPI"&amp;State2,Sheet5!$A$2:$I$295,4,FALSE))</f>
        <v/>
      </c>
      <c r="E336" s="27" t="str">
        <f>IF(_PPI1="","",VLOOKUP($A26&amp;"PPI"&amp;State2,Sheet5!$A$2:$I$295,5,FALSE))</f>
        <v/>
      </c>
      <c r="F336" s="28" t="str">
        <f t="shared" si="90"/>
        <v/>
      </c>
      <c r="G336" s="28" t="str">
        <f t="shared" si="94"/>
        <v/>
      </c>
      <c r="H336" s="27" t="str">
        <f t="shared" si="91"/>
        <v/>
      </c>
      <c r="I336" s="28" t="str">
        <f t="shared" si="95"/>
        <v/>
      </c>
      <c r="J336" s="28" t="str">
        <f t="shared" si="92"/>
        <v/>
      </c>
      <c r="K336" s="28" t="str">
        <f t="shared" si="96"/>
        <v/>
      </c>
      <c r="L336" s="28" t="str">
        <f t="shared" si="93"/>
        <v/>
      </c>
      <c r="M336" s="28" t="str">
        <f t="shared" si="97"/>
        <v/>
      </c>
    </row>
    <row r="337" spans="2:13" x14ac:dyDescent="0.2">
      <c r="B337" s="27" t="str">
        <f>IF(_PPI1="","",VLOOKUP($A27&amp;"PPI"&amp;State2,Sheet5!$A$2:$I$295,2,FALSE))</f>
        <v/>
      </c>
      <c r="C337" s="27" t="str">
        <f>IF(_PPI1="","",VLOOKUP($A27&amp;"PPI"&amp;State2,Sheet5!$A$2:$I$295,3,FALSE))</f>
        <v/>
      </c>
      <c r="D337" s="27" t="str">
        <f>IF(_PPI1="","",VLOOKUP($A27&amp;"PPI"&amp;State2,Sheet5!$A$2:$I$295,4,FALSE))</f>
        <v/>
      </c>
      <c r="E337" s="27" t="str">
        <f>IF(_PPI1="","",VLOOKUP($A27&amp;"PPI"&amp;State2,Sheet5!$A$2:$I$295,5,FALSE))</f>
        <v/>
      </c>
      <c r="F337" s="28" t="str">
        <f t="shared" si="90"/>
        <v/>
      </c>
      <c r="G337" s="28" t="str">
        <f t="shared" si="94"/>
        <v/>
      </c>
      <c r="H337" s="27" t="str">
        <f t="shared" si="91"/>
        <v/>
      </c>
      <c r="I337" s="28" t="str">
        <f t="shared" si="95"/>
        <v/>
      </c>
      <c r="J337" s="28" t="str">
        <f t="shared" si="92"/>
        <v/>
      </c>
      <c r="K337" s="28" t="str">
        <f t="shared" si="96"/>
        <v/>
      </c>
      <c r="L337" s="28" t="str">
        <f t="shared" si="93"/>
        <v/>
      </c>
      <c r="M337" s="28" t="str">
        <f t="shared" si="97"/>
        <v/>
      </c>
    </row>
    <row r="338" spans="2:13" x14ac:dyDescent="0.2">
      <c r="B338" s="27" t="str">
        <f>IF(_PPI1="","",VLOOKUP($A28&amp;"PPI"&amp;State2,Sheet5!$A$2:$I$295,2,FALSE))</f>
        <v/>
      </c>
      <c r="C338" s="27" t="str">
        <f>IF(_PPI1="","",VLOOKUP($A28&amp;"PPI"&amp;State2,Sheet5!$A$2:$I$295,3,FALSE))</f>
        <v/>
      </c>
      <c r="D338" s="27" t="str">
        <f>IF(_PPI1="","",VLOOKUP($A28&amp;"PPI"&amp;State2,Sheet5!$A$2:$I$295,4,FALSE))</f>
        <v/>
      </c>
      <c r="E338" s="27" t="str">
        <f>IF(_PPI1="","",VLOOKUP($A28&amp;"PPI"&amp;State2,Sheet5!$A$2:$I$295,5,FALSE))</f>
        <v/>
      </c>
      <c r="F338" s="28" t="str">
        <f t="shared" si="90"/>
        <v/>
      </c>
      <c r="G338" s="28" t="str">
        <f t="shared" si="94"/>
        <v/>
      </c>
      <c r="H338" s="27" t="str">
        <f t="shared" si="91"/>
        <v/>
      </c>
      <c r="I338" s="28" t="str">
        <f t="shared" si="95"/>
        <v/>
      </c>
      <c r="J338" s="28" t="str">
        <f t="shared" si="92"/>
        <v/>
      </c>
      <c r="K338" s="28" t="str">
        <f t="shared" si="96"/>
        <v/>
      </c>
      <c r="L338" s="28" t="str">
        <f t="shared" si="93"/>
        <v/>
      </c>
      <c r="M338" s="28" t="str">
        <f t="shared" si="97"/>
        <v/>
      </c>
    </row>
    <row r="339" spans="2:13" x14ac:dyDescent="0.2">
      <c r="B339" s="27" t="str">
        <f>IF(_PPI1="","",VLOOKUP($A29&amp;"PPI"&amp;State2,Sheet5!$A$2:$I$295,2,FALSE))</f>
        <v/>
      </c>
      <c r="C339" s="27" t="str">
        <f>IF(_PPI1="","",VLOOKUP($A29&amp;"PPI"&amp;State2,Sheet5!$A$2:$I$295,3,FALSE))</f>
        <v/>
      </c>
      <c r="D339" s="27" t="str">
        <f>IF(_PPI1="","",VLOOKUP($A29&amp;"PPI"&amp;State2,Sheet5!$A$2:$I$295,4,FALSE))</f>
        <v/>
      </c>
      <c r="E339" s="27" t="str">
        <f>IF(_PPI1="","",VLOOKUP($A29&amp;"PPI"&amp;State2,Sheet5!$A$2:$I$295,5,FALSE))</f>
        <v/>
      </c>
      <c r="F339" s="28" t="str">
        <f t="shared" si="90"/>
        <v/>
      </c>
      <c r="G339" s="28" t="str">
        <f t="shared" si="94"/>
        <v/>
      </c>
      <c r="H339" s="27" t="str">
        <f t="shared" si="91"/>
        <v/>
      </c>
      <c r="I339" s="28" t="str">
        <f t="shared" si="95"/>
        <v/>
      </c>
      <c r="J339" s="28" t="str">
        <f t="shared" si="92"/>
        <v/>
      </c>
      <c r="K339" s="28" t="str">
        <f t="shared" si="96"/>
        <v/>
      </c>
      <c r="L339" s="28" t="str">
        <f t="shared" si="93"/>
        <v/>
      </c>
      <c r="M339" s="28" t="str">
        <f t="shared" si="97"/>
        <v/>
      </c>
    </row>
    <row r="340" spans="2:13" x14ac:dyDescent="0.2">
      <c r="B340" s="27" t="str">
        <f>IF(_PPI1="","",VLOOKUP($A30&amp;"PPI"&amp;State2,Sheet5!$A$2:$I$295,2,FALSE))</f>
        <v/>
      </c>
      <c r="C340" s="27" t="str">
        <f>IF(_PPI1="","",VLOOKUP($A30&amp;"PPI"&amp;State2,Sheet5!$A$2:$I$295,3,FALSE))</f>
        <v/>
      </c>
      <c r="D340" s="27" t="str">
        <f>IF(_PPI1="","",VLOOKUP($A30&amp;"PPI"&amp;State2,Sheet5!$A$2:$I$295,4,FALSE))</f>
        <v/>
      </c>
      <c r="E340" s="27" t="str">
        <f>IF(_PPI1="","",VLOOKUP($A30&amp;"PPI"&amp;State2,Sheet5!$A$2:$I$295,5,FALSE))</f>
        <v/>
      </c>
      <c r="F340" s="28" t="str">
        <f t="shared" si="90"/>
        <v/>
      </c>
      <c r="G340" s="28" t="str">
        <f t="shared" si="94"/>
        <v/>
      </c>
      <c r="H340" s="27" t="str">
        <f t="shared" si="91"/>
        <v/>
      </c>
      <c r="I340" s="28" t="str">
        <f t="shared" si="95"/>
        <v/>
      </c>
      <c r="J340" s="28" t="str">
        <f t="shared" si="92"/>
        <v/>
      </c>
      <c r="K340" s="28" t="str">
        <f t="shared" si="96"/>
        <v/>
      </c>
      <c r="L340" s="28" t="str">
        <f t="shared" si="93"/>
        <v/>
      </c>
      <c r="M340" s="28" t="str">
        <f t="shared" si="97"/>
        <v/>
      </c>
    </row>
    <row r="341" spans="2:13" x14ac:dyDescent="0.2">
      <c r="B341" s="27" t="str">
        <f>IF(_PPI1="","",VLOOKUP($A31&amp;"PPI"&amp;State2,Sheet5!$A$2:$I$295,2,FALSE))</f>
        <v/>
      </c>
      <c r="C341" s="27" t="str">
        <f>IF(_PPI1="","",VLOOKUP($A31&amp;"PPI"&amp;State2,Sheet5!$A$2:$I$295,3,FALSE))</f>
        <v/>
      </c>
      <c r="D341" s="27" t="str">
        <f>IF(_PPI1="","",VLOOKUP($A31&amp;"PPI"&amp;State2,Sheet5!$A$2:$I$295,4,FALSE))</f>
        <v/>
      </c>
      <c r="E341" s="27" t="str">
        <f>IF(_PPI1="","",VLOOKUP($A31&amp;"PPI"&amp;State2,Sheet5!$A$2:$I$295,5,FALSE))</f>
        <v/>
      </c>
      <c r="F341" s="28" t="str">
        <f t="shared" si="90"/>
        <v/>
      </c>
      <c r="G341" s="28" t="str">
        <f t="shared" si="94"/>
        <v/>
      </c>
      <c r="H341" s="27" t="str">
        <f t="shared" si="91"/>
        <v/>
      </c>
      <c r="I341" s="28" t="str">
        <f t="shared" si="95"/>
        <v/>
      </c>
      <c r="J341" s="28" t="str">
        <f t="shared" si="92"/>
        <v/>
      </c>
      <c r="K341" s="28" t="str">
        <f t="shared" si="96"/>
        <v/>
      </c>
      <c r="L341" s="28" t="str">
        <f t="shared" si="93"/>
        <v/>
      </c>
      <c r="M341" s="28" t="str">
        <f t="shared" si="97"/>
        <v/>
      </c>
    </row>
    <row r="345" spans="2:13" x14ac:dyDescent="0.2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x14ac:dyDescent="0.2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x14ac:dyDescent="0.2">
      <c r="B347"/>
      <c r="C347"/>
      <c r="D347"/>
      <c r="E347"/>
      <c r="F347"/>
      <c r="G347"/>
      <c r="H347"/>
      <c r="I347"/>
      <c r="J347"/>
      <c r="K347"/>
      <c r="L347"/>
      <c r="M347"/>
    </row>
    <row r="348" spans="2:13" x14ac:dyDescent="0.2">
      <c r="B348"/>
      <c r="C348"/>
      <c r="D348"/>
      <c r="E348"/>
      <c r="F348"/>
      <c r="G348"/>
      <c r="H348"/>
      <c r="I348"/>
      <c r="J348"/>
      <c r="K348"/>
      <c r="L348"/>
      <c r="M348"/>
    </row>
    <row r="349" spans="2:13" x14ac:dyDescent="0.2">
      <c r="B349"/>
      <c r="C349"/>
      <c r="D349"/>
      <c r="E349"/>
      <c r="F349"/>
      <c r="G349"/>
      <c r="H349"/>
      <c r="I349"/>
      <c r="J349"/>
      <c r="K349"/>
      <c r="L349"/>
      <c r="M349"/>
    </row>
    <row r="350" spans="2:13" x14ac:dyDescent="0.2">
      <c r="B350" s="27" t="str">
        <f t="shared" ref="B350:E367" si="98">IF(_PPI1="","",SUM(B321:B324))</f>
        <v/>
      </c>
      <c r="C350" s="27" t="str">
        <f t="shared" si="98"/>
        <v/>
      </c>
      <c r="D350" s="27" t="str">
        <f t="shared" si="98"/>
        <v/>
      </c>
      <c r="E350" s="27" t="str">
        <f t="shared" si="98"/>
        <v/>
      </c>
      <c r="F350" s="28" t="str">
        <f t="shared" ref="F350:F367" si="99">IF(_PPI1="","",IF(B350=0,0,ROUND((C350/B350)*100,2)))</f>
        <v/>
      </c>
      <c r="G350" s="28" t="str">
        <f>IF(_PPI1="","",IF(ISERR((#REF!-F350)/#REF!),"*****",ROUND(-((#REF!-F350)/#REF!)*100,2)))</f>
        <v/>
      </c>
      <c r="H350" s="27" t="str">
        <f t="shared" ref="H350:H367" si="100">IF(_PPI1="","",IF(C350=0,0,ROUND(E350/C350,0)))</f>
        <v/>
      </c>
      <c r="I350" s="28" t="str">
        <f>IF(_PPI1="","",IF(ISERR((#REF!-H350)/#REF!),"******",ROUND(-((#REF!-H350)/#REF!)*100,2)))</f>
        <v/>
      </c>
      <c r="J350" s="28" t="str">
        <f t="shared" ref="J350:J367" si="101">IF(_PPI1="","",IF(B350=0,0,ROUND(E350/B350,2)))</f>
        <v/>
      </c>
      <c r="K350" s="28" t="str">
        <f>IF(_PPI1="","",IF(ISERR((#REF!-J350)/#REF!),"******",ROUND(-((#REF!-J350)/#REF!)*100,2)))</f>
        <v/>
      </c>
      <c r="L350" s="28" t="str">
        <f t="shared" ref="L350:L367" si="102">IF(_PPI1="","",IF(B350=0,0,ROUND((D350/B350)*100,2)))</f>
        <v/>
      </c>
      <c r="M350" s="28" t="str">
        <f>IF(_PPI1="","",IF(ISERR((#REF!-L350)/#REF!),"******",ROUND(-((#REF!-L350)/#REF!)*100,2)))</f>
        <v/>
      </c>
    </row>
    <row r="351" spans="2:13" x14ac:dyDescent="0.2">
      <c r="B351" s="27" t="str">
        <f t="shared" si="98"/>
        <v/>
      </c>
      <c r="C351" s="27" t="str">
        <f t="shared" si="98"/>
        <v/>
      </c>
      <c r="D351" s="27" t="str">
        <f t="shared" si="98"/>
        <v/>
      </c>
      <c r="E351" s="27" t="str">
        <f t="shared" si="98"/>
        <v/>
      </c>
      <c r="F351" s="28" t="str">
        <f t="shared" si="99"/>
        <v/>
      </c>
      <c r="G351" s="28" t="str">
        <f>IF(_PPI1="","",IF(ISERR((#REF!-F351)/#REF!),"*****",ROUND(-((#REF!-F351)/#REF!)*100,2)))</f>
        <v/>
      </c>
      <c r="H351" s="27" t="str">
        <f t="shared" si="100"/>
        <v/>
      </c>
      <c r="I351" s="28" t="str">
        <f>IF(_PPI1="","",IF(ISERR((#REF!-H351)/#REF!),"******",ROUND(-((#REF!-H351)/#REF!)*100,2)))</f>
        <v/>
      </c>
      <c r="J351" s="28" t="str">
        <f t="shared" si="101"/>
        <v/>
      </c>
      <c r="K351" s="28" t="str">
        <f>IF(_PPI1="","",IF(ISERR((#REF!-J351)/#REF!),"******",ROUND(-((#REF!-J351)/#REF!)*100,2)))</f>
        <v/>
      </c>
      <c r="L351" s="28" t="str">
        <f t="shared" si="102"/>
        <v/>
      </c>
      <c r="M351" s="28" t="str">
        <f>IF(_PPI1="","",IF(ISERR((#REF!-L351)/#REF!),"******",ROUND(-((#REF!-L351)/#REF!)*100,2)))</f>
        <v/>
      </c>
    </row>
    <row r="352" spans="2:13" x14ac:dyDescent="0.2">
      <c r="B352" s="27" t="str">
        <f t="shared" si="98"/>
        <v/>
      </c>
      <c r="C352" s="27" t="str">
        <f t="shared" si="98"/>
        <v/>
      </c>
      <c r="D352" s="27" t="str">
        <f t="shared" si="98"/>
        <v/>
      </c>
      <c r="E352" s="27" t="str">
        <f t="shared" si="98"/>
        <v/>
      </c>
      <c r="F352" s="28" t="str">
        <f t="shared" si="99"/>
        <v/>
      </c>
      <c r="G352" s="28" t="str">
        <f>IF(_PPI1="","",IF(ISERR((#REF!-F352)/#REF!),"*****",ROUND(-((#REF!-F352)/#REF!)*100,2)))</f>
        <v/>
      </c>
      <c r="H352" s="27" t="str">
        <f t="shared" si="100"/>
        <v/>
      </c>
      <c r="I352" s="28" t="str">
        <f>IF(_PPI1="","",IF(ISERR((#REF!-H352)/#REF!),"******",ROUND(-((#REF!-H352)/#REF!)*100,2)))</f>
        <v/>
      </c>
      <c r="J352" s="28" t="str">
        <f t="shared" si="101"/>
        <v/>
      </c>
      <c r="K352" s="28" t="str">
        <f>IF(_PPI1="","",IF(ISERR((#REF!-J352)/#REF!),"******",ROUND(-((#REF!-J352)/#REF!)*100,2)))</f>
        <v/>
      </c>
      <c r="L352" s="28" t="str">
        <f t="shared" si="102"/>
        <v/>
      </c>
      <c r="M352" s="28" t="str">
        <f>IF(_PPI1="","",IF(ISERR((#REF!-L352)/#REF!),"******",ROUND(-((#REF!-L352)/#REF!)*100,2)))</f>
        <v/>
      </c>
    </row>
    <row r="353" spans="2:13" x14ac:dyDescent="0.2">
      <c r="B353" s="27" t="str">
        <f t="shared" si="98"/>
        <v/>
      </c>
      <c r="C353" s="27" t="str">
        <f t="shared" si="98"/>
        <v/>
      </c>
      <c r="D353" s="27" t="str">
        <f t="shared" si="98"/>
        <v/>
      </c>
      <c r="E353" s="27" t="str">
        <f t="shared" si="98"/>
        <v/>
      </c>
      <c r="F353" s="28" t="str">
        <f t="shared" si="99"/>
        <v/>
      </c>
      <c r="G353" s="28" t="str">
        <f>IF(_PPI1="","",IF(ISERR((#REF!-F353)/#REF!),"*****",ROUND(-((#REF!-F353)/#REF!)*100,2)))</f>
        <v/>
      </c>
      <c r="H353" s="27" t="str">
        <f t="shared" si="100"/>
        <v/>
      </c>
      <c r="I353" s="28" t="str">
        <f>IF(_PPI1="","",IF(ISERR((#REF!-H353)/#REF!),"******",ROUND(-((#REF!-H353)/#REF!)*100,2)))</f>
        <v/>
      </c>
      <c r="J353" s="28" t="str">
        <f t="shared" si="101"/>
        <v/>
      </c>
      <c r="K353" s="28" t="str">
        <f>IF(_PPI1="","",IF(ISERR((#REF!-J353)/#REF!),"******",ROUND(-((#REF!-J353)/#REF!)*100,2)))</f>
        <v/>
      </c>
      <c r="L353" s="28" t="str">
        <f t="shared" si="102"/>
        <v/>
      </c>
      <c r="M353" s="28" t="str">
        <f>IF(_PPI1="","",IF(ISERR((#REF!-L353)/#REF!),"******",ROUND(-((#REF!-L353)/#REF!)*100,2)))</f>
        <v/>
      </c>
    </row>
    <row r="354" spans="2:13" x14ac:dyDescent="0.2">
      <c r="B354" s="27" t="str">
        <f t="shared" si="98"/>
        <v/>
      </c>
      <c r="C354" s="27" t="str">
        <f t="shared" si="98"/>
        <v/>
      </c>
      <c r="D354" s="27" t="str">
        <f t="shared" si="98"/>
        <v/>
      </c>
      <c r="E354" s="27" t="str">
        <f t="shared" si="98"/>
        <v/>
      </c>
      <c r="F354" s="28" t="str">
        <f t="shared" si="99"/>
        <v/>
      </c>
      <c r="G354" s="28" t="str">
        <f t="shared" ref="G354:G367" si="103">IF(_PPI1="","",IF(ISERR((F350-F354)/F350),"*****",ROUND(-((F350-F354)/F350)*100,2)))</f>
        <v/>
      </c>
      <c r="H354" s="27" t="str">
        <f t="shared" si="100"/>
        <v/>
      </c>
      <c r="I354" s="28" t="str">
        <f t="shared" ref="I354:I367" si="104">IF(_PPI1="","",IF(ISERR((H350-H354)/H350),"******",ROUND(-((H350-H354)/H350)*100,2)))</f>
        <v/>
      </c>
      <c r="J354" s="28" t="str">
        <f t="shared" si="101"/>
        <v/>
      </c>
      <c r="K354" s="28" t="str">
        <f t="shared" ref="K354:K367" si="105">IF(_PPI1="","",IF(ISERR((J350-J354)/J350),"******",ROUND(-((J350-J354)/J350)*100,2)))</f>
        <v/>
      </c>
      <c r="L354" s="28" t="str">
        <f t="shared" si="102"/>
        <v/>
      </c>
      <c r="M354" s="28" t="str">
        <f t="shared" ref="M354:M367" si="106">IF(_PPI1="","",IF(ISERR((L350-L354)/L350),"******",ROUND(-((L350-L354)/L350)*100,2)))</f>
        <v/>
      </c>
    </row>
    <row r="355" spans="2:13" x14ac:dyDescent="0.2">
      <c r="B355" s="27" t="str">
        <f t="shared" si="98"/>
        <v/>
      </c>
      <c r="C355" s="27" t="str">
        <f t="shared" si="98"/>
        <v/>
      </c>
      <c r="D355" s="27" t="str">
        <f t="shared" si="98"/>
        <v/>
      </c>
      <c r="E355" s="27" t="str">
        <f t="shared" si="98"/>
        <v/>
      </c>
      <c r="F355" s="28" t="str">
        <f t="shared" si="99"/>
        <v/>
      </c>
      <c r="G355" s="28" t="str">
        <f t="shared" si="103"/>
        <v/>
      </c>
      <c r="H355" s="27" t="str">
        <f t="shared" si="100"/>
        <v/>
      </c>
      <c r="I355" s="28" t="str">
        <f t="shared" si="104"/>
        <v/>
      </c>
      <c r="J355" s="28" t="str">
        <f t="shared" si="101"/>
        <v/>
      </c>
      <c r="K355" s="28" t="str">
        <f t="shared" si="105"/>
        <v/>
      </c>
      <c r="L355" s="28" t="str">
        <f t="shared" si="102"/>
        <v/>
      </c>
      <c r="M355" s="28" t="str">
        <f t="shared" si="106"/>
        <v/>
      </c>
    </row>
    <row r="356" spans="2:13" x14ac:dyDescent="0.2">
      <c r="B356" s="27" t="str">
        <f t="shared" si="98"/>
        <v/>
      </c>
      <c r="C356" s="27" t="str">
        <f t="shared" si="98"/>
        <v/>
      </c>
      <c r="D356" s="27" t="str">
        <f t="shared" si="98"/>
        <v/>
      </c>
      <c r="E356" s="27" t="str">
        <f t="shared" si="98"/>
        <v/>
      </c>
      <c r="F356" s="28" t="str">
        <f t="shared" si="99"/>
        <v/>
      </c>
      <c r="G356" s="28" t="str">
        <f t="shared" si="103"/>
        <v/>
      </c>
      <c r="H356" s="27" t="str">
        <f t="shared" si="100"/>
        <v/>
      </c>
      <c r="I356" s="28" t="str">
        <f t="shared" si="104"/>
        <v/>
      </c>
      <c r="J356" s="28" t="str">
        <f t="shared" si="101"/>
        <v/>
      </c>
      <c r="K356" s="28" t="str">
        <f t="shared" si="105"/>
        <v/>
      </c>
      <c r="L356" s="28" t="str">
        <f t="shared" si="102"/>
        <v/>
      </c>
      <c r="M356" s="28" t="str">
        <f t="shared" si="106"/>
        <v/>
      </c>
    </row>
    <row r="357" spans="2:13" x14ac:dyDescent="0.2">
      <c r="B357" s="27" t="str">
        <f t="shared" si="98"/>
        <v/>
      </c>
      <c r="C357" s="27" t="str">
        <f t="shared" si="98"/>
        <v/>
      </c>
      <c r="D357" s="27" t="str">
        <f t="shared" si="98"/>
        <v/>
      </c>
      <c r="E357" s="27" t="str">
        <f t="shared" si="98"/>
        <v/>
      </c>
      <c r="F357" s="28" t="str">
        <f t="shared" si="99"/>
        <v/>
      </c>
      <c r="G357" s="28" t="str">
        <f t="shared" si="103"/>
        <v/>
      </c>
      <c r="H357" s="27" t="str">
        <f t="shared" si="100"/>
        <v/>
      </c>
      <c r="I357" s="28" t="str">
        <f t="shared" si="104"/>
        <v/>
      </c>
      <c r="J357" s="28" t="str">
        <f t="shared" si="101"/>
        <v/>
      </c>
      <c r="K357" s="28" t="str">
        <f t="shared" si="105"/>
        <v/>
      </c>
      <c r="L357" s="28" t="str">
        <f t="shared" si="102"/>
        <v/>
      </c>
      <c r="M357" s="28" t="str">
        <f t="shared" si="106"/>
        <v/>
      </c>
    </row>
    <row r="358" spans="2:13" x14ac:dyDescent="0.2">
      <c r="B358" s="27" t="str">
        <f t="shared" si="98"/>
        <v/>
      </c>
      <c r="C358" s="27" t="str">
        <f t="shared" si="98"/>
        <v/>
      </c>
      <c r="D358" s="27" t="str">
        <f t="shared" si="98"/>
        <v/>
      </c>
      <c r="E358" s="27" t="str">
        <f t="shared" si="98"/>
        <v/>
      </c>
      <c r="F358" s="28" t="str">
        <f t="shared" si="99"/>
        <v/>
      </c>
      <c r="G358" s="28" t="str">
        <f t="shared" si="103"/>
        <v/>
      </c>
      <c r="H358" s="27" t="str">
        <f t="shared" si="100"/>
        <v/>
      </c>
      <c r="I358" s="28" t="str">
        <f t="shared" si="104"/>
        <v/>
      </c>
      <c r="J358" s="28" t="str">
        <f t="shared" si="101"/>
        <v/>
      </c>
      <c r="K358" s="28" t="str">
        <f t="shared" si="105"/>
        <v/>
      </c>
      <c r="L358" s="28" t="str">
        <f t="shared" si="102"/>
        <v/>
      </c>
      <c r="M358" s="28" t="str">
        <f t="shared" si="106"/>
        <v/>
      </c>
    </row>
    <row r="359" spans="2:13" x14ac:dyDescent="0.2">
      <c r="B359" s="27" t="str">
        <f t="shared" si="98"/>
        <v/>
      </c>
      <c r="C359" s="27" t="str">
        <f t="shared" si="98"/>
        <v/>
      </c>
      <c r="D359" s="27" t="str">
        <f t="shared" si="98"/>
        <v/>
      </c>
      <c r="E359" s="27" t="str">
        <f t="shared" si="98"/>
        <v/>
      </c>
      <c r="F359" s="28" t="str">
        <f t="shared" si="99"/>
        <v/>
      </c>
      <c r="G359" s="28" t="str">
        <f t="shared" si="103"/>
        <v/>
      </c>
      <c r="H359" s="27" t="str">
        <f t="shared" si="100"/>
        <v/>
      </c>
      <c r="I359" s="28" t="str">
        <f t="shared" si="104"/>
        <v/>
      </c>
      <c r="J359" s="28" t="str">
        <f t="shared" si="101"/>
        <v/>
      </c>
      <c r="K359" s="28" t="str">
        <f t="shared" si="105"/>
        <v/>
      </c>
      <c r="L359" s="28" t="str">
        <f t="shared" si="102"/>
        <v/>
      </c>
      <c r="M359" s="28" t="str">
        <f t="shared" si="106"/>
        <v/>
      </c>
    </row>
    <row r="360" spans="2:13" x14ac:dyDescent="0.2">
      <c r="B360" s="27" t="str">
        <f t="shared" si="98"/>
        <v/>
      </c>
      <c r="C360" s="27" t="str">
        <f t="shared" si="98"/>
        <v/>
      </c>
      <c r="D360" s="27" t="str">
        <f t="shared" si="98"/>
        <v/>
      </c>
      <c r="E360" s="27" t="str">
        <f t="shared" si="98"/>
        <v/>
      </c>
      <c r="F360" s="28" t="str">
        <f t="shared" si="99"/>
        <v/>
      </c>
      <c r="G360" s="28" t="str">
        <f t="shared" si="103"/>
        <v/>
      </c>
      <c r="H360" s="27" t="str">
        <f t="shared" si="100"/>
        <v/>
      </c>
      <c r="I360" s="28" t="str">
        <f t="shared" si="104"/>
        <v/>
      </c>
      <c r="J360" s="28" t="str">
        <f t="shared" si="101"/>
        <v/>
      </c>
      <c r="K360" s="28" t="str">
        <f t="shared" si="105"/>
        <v/>
      </c>
      <c r="L360" s="28" t="str">
        <f t="shared" si="102"/>
        <v/>
      </c>
      <c r="M360" s="28" t="str">
        <f t="shared" si="106"/>
        <v/>
      </c>
    </row>
    <row r="361" spans="2:13" x14ac:dyDescent="0.2">
      <c r="B361" s="27" t="str">
        <f t="shared" si="98"/>
        <v/>
      </c>
      <c r="C361" s="27" t="str">
        <f t="shared" si="98"/>
        <v/>
      </c>
      <c r="D361" s="27" t="str">
        <f t="shared" si="98"/>
        <v/>
      </c>
      <c r="E361" s="27" t="str">
        <f t="shared" si="98"/>
        <v/>
      </c>
      <c r="F361" s="28" t="str">
        <f t="shared" si="99"/>
        <v/>
      </c>
      <c r="G361" s="28" t="str">
        <f t="shared" si="103"/>
        <v/>
      </c>
      <c r="H361" s="27" t="str">
        <f t="shared" si="100"/>
        <v/>
      </c>
      <c r="I361" s="28" t="str">
        <f t="shared" si="104"/>
        <v/>
      </c>
      <c r="J361" s="28" t="str">
        <f t="shared" si="101"/>
        <v/>
      </c>
      <c r="K361" s="28" t="str">
        <f t="shared" si="105"/>
        <v/>
      </c>
      <c r="L361" s="28" t="str">
        <f t="shared" si="102"/>
        <v/>
      </c>
      <c r="M361" s="28" t="str">
        <f t="shared" si="106"/>
        <v/>
      </c>
    </row>
    <row r="362" spans="2:13" x14ac:dyDescent="0.2">
      <c r="B362" s="27" t="str">
        <f t="shared" si="98"/>
        <v/>
      </c>
      <c r="C362" s="27" t="str">
        <f t="shared" si="98"/>
        <v/>
      </c>
      <c r="D362" s="27" t="str">
        <f t="shared" si="98"/>
        <v/>
      </c>
      <c r="E362" s="27" t="str">
        <f t="shared" si="98"/>
        <v/>
      </c>
      <c r="F362" s="28" t="str">
        <f t="shared" si="99"/>
        <v/>
      </c>
      <c r="G362" s="28" t="str">
        <f t="shared" si="103"/>
        <v/>
      </c>
      <c r="H362" s="27" t="str">
        <f t="shared" si="100"/>
        <v/>
      </c>
      <c r="I362" s="28" t="str">
        <f t="shared" si="104"/>
        <v/>
      </c>
      <c r="J362" s="28" t="str">
        <f t="shared" si="101"/>
        <v/>
      </c>
      <c r="K362" s="28" t="str">
        <f t="shared" si="105"/>
        <v/>
      </c>
      <c r="L362" s="28" t="str">
        <f t="shared" si="102"/>
        <v/>
      </c>
      <c r="M362" s="28" t="str">
        <f t="shared" si="106"/>
        <v/>
      </c>
    </row>
    <row r="363" spans="2:13" x14ac:dyDescent="0.2">
      <c r="B363" s="27" t="str">
        <f t="shared" si="98"/>
        <v/>
      </c>
      <c r="C363" s="27" t="str">
        <f t="shared" si="98"/>
        <v/>
      </c>
      <c r="D363" s="27" t="str">
        <f t="shared" si="98"/>
        <v/>
      </c>
      <c r="E363" s="27" t="str">
        <f t="shared" si="98"/>
        <v/>
      </c>
      <c r="F363" s="28" t="str">
        <f t="shared" si="99"/>
        <v/>
      </c>
      <c r="G363" s="28" t="str">
        <f t="shared" si="103"/>
        <v/>
      </c>
      <c r="H363" s="27" t="str">
        <f t="shared" si="100"/>
        <v/>
      </c>
      <c r="I363" s="28" t="str">
        <f t="shared" si="104"/>
        <v/>
      </c>
      <c r="J363" s="28" t="str">
        <f t="shared" si="101"/>
        <v/>
      </c>
      <c r="K363" s="28" t="str">
        <f t="shared" si="105"/>
        <v/>
      </c>
      <c r="L363" s="28" t="str">
        <f t="shared" si="102"/>
        <v/>
      </c>
      <c r="M363" s="28" t="str">
        <f t="shared" si="106"/>
        <v/>
      </c>
    </row>
    <row r="364" spans="2:13" x14ac:dyDescent="0.2">
      <c r="B364" s="27" t="str">
        <f t="shared" si="98"/>
        <v/>
      </c>
      <c r="C364" s="27" t="str">
        <f t="shared" si="98"/>
        <v/>
      </c>
      <c r="D364" s="27" t="str">
        <f t="shared" si="98"/>
        <v/>
      </c>
      <c r="E364" s="27" t="str">
        <f t="shared" si="98"/>
        <v/>
      </c>
      <c r="F364" s="28" t="str">
        <f t="shared" si="99"/>
        <v/>
      </c>
      <c r="G364" s="28" t="str">
        <f t="shared" si="103"/>
        <v/>
      </c>
      <c r="H364" s="27" t="str">
        <f t="shared" si="100"/>
        <v/>
      </c>
      <c r="I364" s="28" t="str">
        <f t="shared" si="104"/>
        <v/>
      </c>
      <c r="J364" s="28" t="str">
        <f t="shared" si="101"/>
        <v/>
      </c>
      <c r="K364" s="28" t="str">
        <f t="shared" si="105"/>
        <v/>
      </c>
      <c r="L364" s="28" t="str">
        <f t="shared" si="102"/>
        <v/>
      </c>
      <c r="M364" s="28" t="str">
        <f t="shared" si="106"/>
        <v/>
      </c>
    </row>
    <row r="365" spans="2:13" x14ac:dyDescent="0.2">
      <c r="B365" s="27" t="str">
        <f t="shared" si="98"/>
        <v/>
      </c>
      <c r="C365" s="27" t="str">
        <f t="shared" si="98"/>
        <v/>
      </c>
      <c r="D365" s="27" t="str">
        <f t="shared" si="98"/>
        <v/>
      </c>
      <c r="E365" s="27" t="str">
        <f t="shared" si="98"/>
        <v/>
      </c>
      <c r="F365" s="28" t="str">
        <f t="shared" si="99"/>
        <v/>
      </c>
      <c r="G365" s="28" t="str">
        <f t="shared" si="103"/>
        <v/>
      </c>
      <c r="H365" s="27" t="str">
        <f t="shared" si="100"/>
        <v/>
      </c>
      <c r="I365" s="28" t="str">
        <f t="shared" si="104"/>
        <v/>
      </c>
      <c r="J365" s="28" t="str">
        <f t="shared" si="101"/>
        <v/>
      </c>
      <c r="K365" s="28" t="str">
        <f t="shared" si="105"/>
        <v/>
      </c>
      <c r="L365" s="28" t="str">
        <f t="shared" si="102"/>
        <v/>
      </c>
      <c r="M365" s="28" t="str">
        <f t="shared" si="106"/>
        <v/>
      </c>
    </row>
    <row r="366" spans="2:13" x14ac:dyDescent="0.2">
      <c r="B366" s="27" t="str">
        <f t="shared" si="98"/>
        <v/>
      </c>
      <c r="C366" s="27" t="str">
        <f t="shared" si="98"/>
        <v/>
      </c>
      <c r="D366" s="27" t="str">
        <f t="shared" si="98"/>
        <v/>
      </c>
      <c r="E366" s="27" t="str">
        <f t="shared" si="98"/>
        <v/>
      </c>
      <c r="F366" s="28" t="str">
        <f t="shared" si="99"/>
        <v/>
      </c>
      <c r="G366" s="28" t="str">
        <f t="shared" si="103"/>
        <v/>
      </c>
      <c r="H366" s="27" t="str">
        <f t="shared" si="100"/>
        <v/>
      </c>
      <c r="I366" s="28" t="str">
        <f t="shared" si="104"/>
        <v/>
      </c>
      <c r="J366" s="28" t="str">
        <f t="shared" si="101"/>
        <v/>
      </c>
      <c r="K366" s="28" t="str">
        <f t="shared" si="105"/>
        <v/>
      </c>
      <c r="L366" s="28" t="str">
        <f t="shared" si="102"/>
        <v/>
      </c>
      <c r="M366" s="28" t="str">
        <f t="shared" si="106"/>
        <v/>
      </c>
    </row>
    <row r="367" spans="2:13" x14ac:dyDescent="0.2">
      <c r="B367" s="27" t="str">
        <f t="shared" si="98"/>
        <v/>
      </c>
      <c r="C367" s="27" t="str">
        <f t="shared" si="98"/>
        <v/>
      </c>
      <c r="D367" s="27" t="str">
        <f t="shared" si="98"/>
        <v/>
      </c>
      <c r="E367" s="27" t="str">
        <f t="shared" si="98"/>
        <v/>
      </c>
      <c r="F367" s="28" t="str">
        <f t="shared" si="99"/>
        <v/>
      </c>
      <c r="G367" s="28" t="str">
        <f t="shared" si="103"/>
        <v/>
      </c>
      <c r="H367" s="27" t="str">
        <f t="shared" si="100"/>
        <v/>
      </c>
      <c r="I367" s="28" t="str">
        <f t="shared" si="104"/>
        <v/>
      </c>
      <c r="J367" s="28" t="str">
        <f t="shared" si="101"/>
        <v/>
      </c>
      <c r="K367" s="28" t="str">
        <f t="shared" si="105"/>
        <v/>
      </c>
      <c r="L367" s="28" t="str">
        <f t="shared" si="102"/>
        <v/>
      </c>
      <c r="M367" s="28" t="str">
        <f t="shared" si="106"/>
        <v/>
      </c>
    </row>
  </sheetData>
  <mergeCells count="10">
    <mergeCell ref="C250:K250"/>
    <mergeCell ref="C125:K125"/>
    <mergeCell ref="C126:K126"/>
    <mergeCell ref="C187:K187"/>
    <mergeCell ref="C188:K188"/>
    <mergeCell ref="C1:K1"/>
    <mergeCell ref="C2:K2"/>
    <mergeCell ref="C63:K63"/>
    <mergeCell ref="C64:K64"/>
    <mergeCell ref="C249:K249"/>
  </mergeCells>
  <phoneticPr fontId="6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8913" r:id="rId4" name="ComboBox1">
          <controlPr defaultSize="0" print="0" autoLine="0" listFillRange="Sheet5!K3:K6" r:id="rId5">
            <anchor mov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752475</xdr:colOff>
                <xdr:row>1</xdr:row>
                <xdr:rowOff>85725</xdr:rowOff>
              </to>
            </anchor>
          </controlPr>
        </control>
      </mc:Choice>
      <mc:Fallback>
        <control shapeId="38913" r:id="rId4" name="ComboBox1"/>
      </mc:Fallback>
    </mc:AlternateContent>
    <mc:AlternateContent xmlns:mc="http://schemas.openxmlformats.org/markup-compatibility/2006">
      <mc:Choice Requires="x14">
        <control shapeId="38914" r:id="rId6" name="cmdPrintData">
          <controlPr defaultSize="0" print="0" autoLine="0" r:id="rId7">
            <anchor moveWithCells="1">
              <from>
                <xdr:col>14</xdr:col>
                <xdr:colOff>9525</xdr:colOff>
                <xdr:row>14</xdr:row>
                <xdr:rowOff>19050</xdr:rowOff>
              </from>
              <to>
                <xdr:col>15</xdr:col>
                <xdr:colOff>114300</xdr:colOff>
                <xdr:row>15</xdr:row>
                <xdr:rowOff>114300</xdr:rowOff>
              </to>
            </anchor>
          </controlPr>
        </control>
      </mc:Choice>
      <mc:Fallback>
        <control shapeId="38914" r:id="rId6" name="cmdPrintData"/>
      </mc:Fallback>
    </mc:AlternateContent>
    <mc:AlternateContent xmlns:mc="http://schemas.openxmlformats.org/markup-compatibility/2006">
      <mc:Choice Requires="x14">
        <control shapeId="38916" r:id="rId8" name="Label1">
          <controlPr defaultSize="0" print="0" autoLine="0" r:id="rId9">
            <anchor moveWithCells="1">
              <from>
                <xdr:col>14</xdr:col>
                <xdr:colOff>0</xdr:colOff>
                <xdr:row>2</xdr:row>
                <xdr:rowOff>19050</xdr:rowOff>
              </from>
              <to>
                <xdr:col>15</xdr:col>
                <xdr:colOff>342900</xdr:colOff>
                <xdr:row>3</xdr:row>
                <xdr:rowOff>28575</xdr:rowOff>
              </to>
            </anchor>
          </controlPr>
        </control>
      </mc:Choice>
      <mc:Fallback>
        <control shapeId="38916" r:id="rId8" name="Label1"/>
      </mc:Fallback>
    </mc:AlternateContent>
    <mc:AlternateContent xmlns:mc="http://schemas.openxmlformats.org/markup-compatibility/2006">
      <mc:Choice Requires="x14">
        <control shapeId="38917" r:id="rId10" name="ListBox1">
          <controlPr defaultSize="0" print="0" autoLine="0" listFillRange="Sheet5!S23:S33" r:id="rId11">
            <anchor moveWithCells="1">
              <from>
                <xdr:col>14</xdr:col>
                <xdr:colOff>9525</xdr:colOff>
                <xdr:row>3</xdr:row>
                <xdr:rowOff>0</xdr:rowOff>
              </from>
              <to>
                <xdr:col>19</xdr:col>
                <xdr:colOff>57150</xdr:colOff>
                <xdr:row>14</xdr:row>
                <xdr:rowOff>38100</xdr:rowOff>
              </to>
            </anchor>
          </controlPr>
        </control>
      </mc:Choice>
      <mc:Fallback>
        <control shapeId="38917" r:id="rId10" name="List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C650-5EB6-48D4-90B3-5D960DFA0DF8}">
  <sheetPr codeName="Sheet3"/>
  <dimension ref="A1:X118"/>
  <sheetViews>
    <sheetView workbookViewId="0"/>
  </sheetViews>
  <sheetFormatPr defaultRowHeight="12.75" x14ac:dyDescent="0.2"/>
  <cols>
    <col min="1" max="1" width="19.140625" style="29" customWidth="1"/>
    <col min="2" max="2" width="18.85546875" style="27" customWidth="1"/>
    <col min="3" max="3" width="2.42578125" style="27" customWidth="1"/>
    <col min="4" max="4" width="16.5703125" style="27" bestFit="1" customWidth="1"/>
    <col min="5" max="5" width="2.42578125" style="29" customWidth="1"/>
    <col min="6" max="6" width="11" style="42" bestFit="1" customWidth="1"/>
    <col min="7" max="7" width="2.42578125" style="29" customWidth="1"/>
    <col min="8" max="8" width="17" style="27" bestFit="1" customWidth="1"/>
    <col min="9" max="9" width="2.42578125" style="27" customWidth="1"/>
    <col min="10" max="10" width="16.5703125" style="27" bestFit="1" customWidth="1"/>
    <col min="11" max="11" width="2.42578125" style="29" customWidth="1"/>
    <col min="12" max="12" width="10.85546875" style="44" customWidth="1"/>
    <col min="13" max="13" width="15.85546875" customWidth="1"/>
    <col min="14" max="14" width="17" bestFit="1" customWidth="1"/>
    <col min="15" max="15" width="2.42578125" customWidth="1"/>
    <col min="16" max="16" width="16.5703125" bestFit="1" customWidth="1"/>
    <col min="17" max="17" width="2.42578125" customWidth="1"/>
    <col min="18" max="18" width="11" style="43" bestFit="1" customWidth="1"/>
    <col min="19" max="19" width="2.42578125" customWidth="1"/>
    <col min="20" max="20" width="17" bestFit="1" customWidth="1"/>
    <col min="21" max="21" width="2.42578125" customWidth="1"/>
    <col min="22" max="22" width="16.5703125" bestFit="1" customWidth="1"/>
    <col min="23" max="23" width="2.42578125" customWidth="1"/>
    <col min="24" max="24" width="11" style="43" bestFit="1" customWidth="1"/>
  </cols>
  <sheetData>
    <row r="1" spans="1:12" x14ac:dyDescent="0.2">
      <c r="A1" s="29" t="s">
        <v>88</v>
      </c>
      <c r="C1" s="30"/>
      <c r="D1" s="30"/>
      <c r="E1" s="31"/>
      <c r="F1" s="39"/>
    </row>
    <row r="2" spans="1:12" ht="13.5" x14ac:dyDescent="0.2">
      <c r="A2" s="22" t="s">
        <v>43</v>
      </c>
      <c r="B2" s="25"/>
      <c r="C2" s="25"/>
      <c r="D2" s="25"/>
      <c r="E2" s="21"/>
      <c r="F2" s="40"/>
      <c r="G2" s="17"/>
      <c r="H2" s="15"/>
      <c r="I2" s="15"/>
      <c r="J2" s="15"/>
      <c r="K2" s="17"/>
      <c r="L2" s="45"/>
    </row>
    <row r="3" spans="1:12" ht="15.75" customHeight="1" x14ac:dyDescent="0.2">
      <c r="A3" s="70" t="s">
        <v>56</v>
      </c>
      <c r="B3" s="72"/>
      <c r="C3" s="72"/>
      <c r="D3" s="72"/>
      <c r="E3" s="72"/>
      <c r="F3" s="72"/>
      <c r="G3" s="17"/>
      <c r="H3" s="15"/>
      <c r="I3" s="15"/>
      <c r="J3" s="15"/>
      <c r="K3" s="17"/>
      <c r="L3" s="45"/>
    </row>
    <row r="4" spans="1:12" x14ac:dyDescent="0.2">
      <c r="A4" s="21" t="s">
        <v>57</v>
      </c>
      <c r="B4" s="25"/>
      <c r="C4" s="25"/>
      <c r="D4" s="25"/>
      <c r="E4" s="21"/>
      <c r="F4" s="40"/>
      <c r="G4" s="17"/>
      <c r="H4" s="15"/>
      <c r="I4" s="15"/>
      <c r="J4" s="15"/>
      <c r="K4" s="17"/>
      <c r="L4" s="45"/>
    </row>
    <row r="5" spans="1:12" x14ac:dyDescent="0.2">
      <c r="A5" s="22" t="s">
        <v>58</v>
      </c>
      <c r="B5" s="25"/>
      <c r="C5" s="25"/>
      <c r="D5" s="25"/>
      <c r="E5" s="21"/>
      <c r="F5" s="40"/>
      <c r="G5" s="17"/>
      <c r="H5" s="15"/>
      <c r="I5" s="15"/>
      <c r="J5" s="15"/>
      <c r="K5" s="17"/>
      <c r="L5" s="45"/>
    </row>
    <row r="6" spans="1:12" x14ac:dyDescent="0.2">
      <c r="A6" s="23"/>
      <c r="B6" s="15"/>
      <c r="C6" s="15"/>
      <c r="D6" s="15"/>
      <c r="E6" s="17"/>
      <c r="F6" s="41"/>
      <c r="G6" s="17"/>
      <c r="H6" s="15"/>
      <c r="I6" s="15"/>
      <c r="J6" s="15"/>
      <c r="K6" s="17"/>
      <c r="L6" s="45"/>
    </row>
    <row r="7" spans="1:12" x14ac:dyDescent="0.2">
      <c r="A7" s="48" t="s">
        <v>21</v>
      </c>
      <c r="B7" s="49" t="s">
        <v>59</v>
      </c>
      <c r="C7" s="15"/>
      <c r="D7" s="54" t="s">
        <v>60</v>
      </c>
      <c r="E7" s="24"/>
      <c r="F7" s="55" t="s">
        <v>61</v>
      </c>
      <c r="G7" s="17"/>
      <c r="H7" s="15"/>
      <c r="I7" s="15"/>
      <c r="J7" s="15"/>
      <c r="K7" s="17"/>
      <c r="L7" s="45"/>
    </row>
    <row r="8" spans="1:12" x14ac:dyDescent="0.2">
      <c r="L8" s="46"/>
    </row>
    <row r="9" spans="1:12" x14ac:dyDescent="0.2">
      <c r="A9" s="29" t="s">
        <v>722</v>
      </c>
      <c r="B9" s="27">
        <f>VLOOKUP(A9&amp;"BI+PD"&amp;State3,Sheet5!$AX$2:$AZ$190,2,FALSE)</f>
        <v>13239909574</v>
      </c>
      <c r="D9" s="27">
        <f>VLOOKUP(A9&amp;"BI+PD"&amp;State3,Sheet5!$AX$2:$AZ$190,3,FALSE)</f>
        <v>10568489263</v>
      </c>
      <c r="F9" s="42">
        <f>IF(B9=0,0,ROUND(D9/B9,3))</f>
        <v>0.79800000000000004</v>
      </c>
    </row>
    <row r="10" spans="1:12" x14ac:dyDescent="0.2">
      <c r="A10" s="29" t="s">
        <v>723</v>
      </c>
      <c r="B10" s="27">
        <f>VLOOKUP(A10&amp;"BI+PD"&amp;State3,Sheet5!$AX$2:$AZ$190,2,FALSE)</f>
        <v>13537503499</v>
      </c>
      <c r="D10" s="27">
        <f>VLOOKUP(A10&amp;"BI+PD"&amp;State3,Sheet5!$AX$2:$AZ$190,3,FALSE)</f>
        <v>10497305835</v>
      </c>
      <c r="F10" s="42">
        <f t="shared" ref="F10:F29" si="0">IF(B10=0,0,ROUND(D10/B10,3))</f>
        <v>0.77500000000000002</v>
      </c>
    </row>
    <row r="11" spans="1:12" x14ac:dyDescent="0.2">
      <c r="A11" s="29" t="s">
        <v>724</v>
      </c>
      <c r="B11" s="27">
        <f>VLOOKUP(A11&amp;"BI+PD"&amp;State3,Sheet5!$AX$2:$AZ$190,2,FALSE)</f>
        <v>13690535664</v>
      </c>
      <c r="D11" s="27">
        <f>VLOOKUP(A11&amp;"BI+PD"&amp;State3,Sheet5!$AX$2:$AZ$190,3,FALSE)</f>
        <v>10058937962</v>
      </c>
      <c r="F11" s="42">
        <f t="shared" si="0"/>
        <v>0.73499999999999999</v>
      </c>
    </row>
    <row r="12" spans="1:12" x14ac:dyDescent="0.2">
      <c r="A12" s="29" t="s">
        <v>700</v>
      </c>
      <c r="B12" s="27">
        <f>VLOOKUP(A12&amp;"BI+PD"&amp;State3,Sheet5!$AX$2:$AZ$190,2,FALSE)</f>
        <v>13638119672</v>
      </c>
      <c r="D12" s="27">
        <f>VLOOKUP(A12&amp;"BI+PD"&amp;State3,Sheet5!$AX$2:$AZ$190,3,FALSE)</f>
        <v>10831689054</v>
      </c>
      <c r="F12" s="42">
        <f t="shared" si="0"/>
        <v>0.79400000000000004</v>
      </c>
    </row>
    <row r="13" spans="1:12" x14ac:dyDescent="0.2">
      <c r="A13" s="29" t="s">
        <v>701</v>
      </c>
      <c r="B13" s="27">
        <f>VLOOKUP(A13&amp;"BI+PD"&amp;State3,Sheet5!$AX$2:$AZ$190,2,FALSE)</f>
        <v>13665410475</v>
      </c>
      <c r="D13" s="27">
        <f>VLOOKUP(A13&amp;"BI+PD"&amp;State3,Sheet5!$AX$2:$AZ$190,3,FALSE)</f>
        <v>10696298517</v>
      </c>
      <c r="F13" s="42">
        <f t="shared" si="0"/>
        <v>0.78300000000000003</v>
      </c>
    </row>
    <row r="14" spans="1:12" x14ac:dyDescent="0.2">
      <c r="A14" s="29" t="s">
        <v>702</v>
      </c>
      <c r="B14" s="27">
        <f>VLOOKUP(A14&amp;"BI+PD"&amp;State3,Sheet5!$AX$2:$AZ$190,2,FALSE)</f>
        <v>13805401806</v>
      </c>
      <c r="D14" s="27">
        <f>VLOOKUP(A14&amp;"BI+PD"&amp;State3,Sheet5!$AX$2:$AZ$190,3,FALSE)</f>
        <v>10535941306</v>
      </c>
      <c r="F14" s="42">
        <f t="shared" si="0"/>
        <v>0.76300000000000001</v>
      </c>
    </row>
    <row r="15" spans="1:12" x14ac:dyDescent="0.2">
      <c r="A15" s="29" t="s">
        <v>703</v>
      </c>
      <c r="B15" s="27">
        <f>VLOOKUP(A15&amp;"BI+PD"&amp;State3,Sheet5!$AX$2:$AZ$190,2,FALSE)</f>
        <v>13887797688</v>
      </c>
      <c r="D15" s="27">
        <f>VLOOKUP(A15&amp;"BI+PD"&amp;State3,Sheet5!$AX$2:$AZ$190,3,FALSE)</f>
        <v>10497665525</v>
      </c>
      <c r="F15" s="42">
        <f t="shared" si="0"/>
        <v>0.75600000000000001</v>
      </c>
    </row>
    <row r="16" spans="1:12" x14ac:dyDescent="0.2">
      <c r="A16" s="29" t="s">
        <v>704</v>
      </c>
      <c r="B16" s="27">
        <f>VLOOKUP(A16&amp;"BI+PD"&amp;State3,Sheet5!$AX$2:$AZ$190,2,FALSE)</f>
        <v>13981189787</v>
      </c>
      <c r="D16" s="27">
        <f>VLOOKUP(A16&amp;"BI+PD"&amp;State3,Sheet5!$AX$2:$AZ$190,3,FALSE)</f>
        <v>10859558504</v>
      </c>
      <c r="F16" s="42">
        <f t="shared" si="0"/>
        <v>0.77700000000000002</v>
      </c>
    </row>
    <row r="17" spans="1:6" x14ac:dyDescent="0.2">
      <c r="A17" s="29" t="s">
        <v>705</v>
      </c>
      <c r="B17" s="27">
        <f>VLOOKUP(A17&amp;"BI+PD"&amp;State3,Sheet5!$AX$2:$AZ$190,2,FALSE)</f>
        <v>13904831634</v>
      </c>
      <c r="D17" s="27">
        <f>VLOOKUP(A17&amp;"BI+PD"&amp;State3,Sheet5!$AX$2:$AZ$190,3,FALSE)</f>
        <v>10206595654</v>
      </c>
      <c r="F17" s="42">
        <f t="shared" si="0"/>
        <v>0.73399999999999999</v>
      </c>
    </row>
    <row r="18" spans="1:6" x14ac:dyDescent="0.2">
      <c r="A18" s="29" t="s">
        <v>706</v>
      </c>
      <c r="B18" s="27">
        <f>VLOOKUP(A18&amp;"BI+PD"&amp;State3,Sheet5!$AX$2:$AZ$190,2,FALSE)</f>
        <v>14046140072</v>
      </c>
      <c r="D18" s="27">
        <f>VLOOKUP(A18&amp;"BI+PD"&amp;State3,Sheet5!$AX$2:$AZ$190,3,FALSE)</f>
        <v>10160189499</v>
      </c>
      <c r="F18" s="42">
        <f t="shared" si="0"/>
        <v>0.72299999999999998</v>
      </c>
    </row>
    <row r="19" spans="1:6" x14ac:dyDescent="0.2">
      <c r="A19" s="29" t="s">
        <v>707</v>
      </c>
      <c r="B19" s="27">
        <f>VLOOKUP(A19&amp;"BI+PD"&amp;State3,Sheet5!$AX$2:$AZ$190,2,FALSE)</f>
        <v>14102019545</v>
      </c>
      <c r="D19" s="27">
        <f>VLOOKUP(A19&amp;"BI+PD"&amp;State3,Sheet5!$AX$2:$AZ$190,3,FALSE)</f>
        <v>10253420848</v>
      </c>
      <c r="F19" s="42">
        <f t="shared" si="0"/>
        <v>0.72699999999999998</v>
      </c>
    </row>
    <row r="20" spans="1:6" x14ac:dyDescent="0.2">
      <c r="A20" s="29" t="s">
        <v>708</v>
      </c>
      <c r="B20" s="27">
        <f>VLOOKUP(A20&amp;"BI+PD"&amp;State3,Sheet5!$AX$2:$AZ$190,2,FALSE)</f>
        <v>14101577328</v>
      </c>
      <c r="D20" s="27">
        <f>VLOOKUP(A20&amp;"BI+PD"&amp;State3,Sheet5!$AX$2:$AZ$190,3,FALSE)</f>
        <v>11013797131</v>
      </c>
      <c r="F20" s="42">
        <f t="shared" si="0"/>
        <v>0.78100000000000003</v>
      </c>
    </row>
    <row r="21" spans="1:6" x14ac:dyDescent="0.2">
      <c r="A21" s="29" t="s">
        <v>709</v>
      </c>
      <c r="B21" s="27">
        <f>VLOOKUP(A21&amp;"BI+PD"&amp;State3,Sheet5!$AX$2:$AZ$190,2,FALSE)</f>
        <v>13919562346</v>
      </c>
      <c r="D21" s="27">
        <f>VLOOKUP(A21&amp;"BI+PD"&amp;State3,Sheet5!$AX$2:$AZ$190,3,FALSE)</f>
        <v>10638465836</v>
      </c>
      <c r="F21" s="42">
        <f t="shared" si="0"/>
        <v>0.76400000000000001</v>
      </c>
    </row>
    <row r="22" spans="1:6" x14ac:dyDescent="0.2">
      <c r="A22" s="29" t="s">
        <v>710</v>
      </c>
      <c r="B22" s="27">
        <f>VLOOKUP(A22&amp;"BI+PD"&amp;State3,Sheet5!$AX$2:$AZ$190,2,FALSE)</f>
        <v>13972498738</v>
      </c>
      <c r="D22" s="27">
        <f>VLOOKUP(A22&amp;"BI+PD"&amp;State3,Sheet5!$AX$2:$AZ$190,3,FALSE)</f>
        <v>10853499292</v>
      </c>
      <c r="F22" s="42">
        <f t="shared" si="0"/>
        <v>0.77700000000000002</v>
      </c>
    </row>
    <row r="23" spans="1:6" x14ac:dyDescent="0.2">
      <c r="A23" s="29" t="s">
        <v>711</v>
      </c>
      <c r="B23" s="27">
        <f>VLOOKUP(A23&amp;"BI+PD"&amp;State3,Sheet5!$AX$2:$AZ$190,2,FALSE)</f>
        <v>13936886208</v>
      </c>
      <c r="D23" s="27">
        <f>VLOOKUP(A23&amp;"BI+PD"&amp;State3,Sheet5!$AX$2:$AZ$190,3,FALSE)</f>
        <v>10992435458</v>
      </c>
      <c r="F23" s="42">
        <f t="shared" si="0"/>
        <v>0.78900000000000003</v>
      </c>
    </row>
    <row r="24" spans="1:6" x14ac:dyDescent="0.2">
      <c r="A24" s="29" t="s">
        <v>712</v>
      </c>
      <c r="B24" s="27">
        <f>VLOOKUP(A24&amp;"BI+PD"&amp;State3,Sheet5!$AX$2:$AZ$190,2,FALSE)</f>
        <v>13810384264</v>
      </c>
      <c r="D24" s="27">
        <f>VLOOKUP(A24&amp;"BI+PD"&amp;State3,Sheet5!$AX$2:$AZ$190,3,FALSE)</f>
        <v>11373363591</v>
      </c>
      <c r="F24" s="42">
        <f t="shared" si="0"/>
        <v>0.82399999999999995</v>
      </c>
    </row>
    <row r="25" spans="1:6" x14ac:dyDescent="0.2">
      <c r="A25" s="29" t="s">
        <v>713</v>
      </c>
      <c r="B25" s="27">
        <f>VLOOKUP(A25&amp;"BI+PD"&amp;State3,Sheet5!$AX$2:$AZ$190,2,FALSE)</f>
        <v>13727033695</v>
      </c>
      <c r="D25" s="27">
        <f>VLOOKUP(A25&amp;"BI+PD"&amp;State3,Sheet5!$AX$2:$AZ$190,3,FALSE)</f>
        <v>10651443723</v>
      </c>
      <c r="F25" s="42">
        <f t="shared" si="0"/>
        <v>0.77600000000000002</v>
      </c>
    </row>
    <row r="26" spans="1:6" x14ac:dyDescent="0.2">
      <c r="A26" s="29" t="s">
        <v>714</v>
      </c>
      <c r="B26" s="27">
        <f>VLOOKUP(A26&amp;"BI+PD"&amp;State3,Sheet5!$AX$2:$AZ$190,2,FALSE)</f>
        <v>13792696986</v>
      </c>
      <c r="D26" s="27">
        <f>VLOOKUP(A26&amp;"BI+PD"&amp;State3,Sheet5!$AX$2:$AZ$190,3,FALSE)</f>
        <v>11129104644</v>
      </c>
      <c r="F26" s="42">
        <f t="shared" si="0"/>
        <v>0.80700000000000005</v>
      </c>
    </row>
    <row r="27" spans="1:6" x14ac:dyDescent="0.2">
      <c r="A27" s="29" t="s">
        <v>715</v>
      </c>
      <c r="B27" s="27">
        <f>VLOOKUP(A27&amp;"BI+PD"&amp;State3,Sheet5!$AX$2:$AZ$190,2,FALSE)</f>
        <v>13854502664</v>
      </c>
      <c r="D27" s="27">
        <f>VLOOKUP(A27&amp;"BI+PD"&amp;State3,Sheet5!$AX$2:$AZ$190,3,FALSE)</f>
        <v>10925296900</v>
      </c>
      <c r="F27" s="42">
        <f t="shared" si="0"/>
        <v>0.78900000000000003</v>
      </c>
    </row>
    <row r="28" spans="1:6" x14ac:dyDescent="0.2">
      <c r="A28" s="29" t="s">
        <v>716</v>
      </c>
      <c r="B28" s="27">
        <f>VLOOKUP(A28&amp;"BI+PD"&amp;State3,Sheet5!$AX$2:$AZ$190,2,FALSE)</f>
        <v>13826116479</v>
      </c>
      <c r="D28" s="27">
        <f>VLOOKUP(A28&amp;"BI+PD"&amp;State3,Sheet5!$AX$2:$AZ$190,3,FALSE)</f>
        <v>11469855724</v>
      </c>
      <c r="F28" s="42">
        <f t="shared" si="0"/>
        <v>0.83</v>
      </c>
    </row>
    <row r="29" spans="1:6" x14ac:dyDescent="0.2">
      <c r="A29" s="29" t="s">
        <v>717</v>
      </c>
      <c r="B29" s="27">
        <f>VLOOKUP(A29&amp;"BI+PD"&amp;State3,Sheet5!$AX$2:$AZ$190,2,FALSE)</f>
        <v>13749556444</v>
      </c>
      <c r="D29" s="27">
        <f>VLOOKUP(A29&amp;"BI+PD"&amp;State3,Sheet5!$AX$2:$AZ$190,3,FALSE)</f>
        <v>10981635422</v>
      </c>
      <c r="F29" s="42">
        <f t="shared" si="0"/>
        <v>0.79900000000000004</v>
      </c>
    </row>
    <row r="30" spans="1:6" x14ac:dyDescent="0.2">
      <c r="A30" s="29" t="s">
        <v>718</v>
      </c>
    </row>
    <row r="31" spans="1:6" x14ac:dyDescent="0.2">
      <c r="A31" s="29" t="s">
        <v>719</v>
      </c>
    </row>
    <row r="35" spans="1:6" x14ac:dyDescent="0.2">
      <c r="A35" s="48" t="s">
        <v>744</v>
      </c>
      <c r="B35" s="49" t="s">
        <v>59</v>
      </c>
      <c r="C35" s="15"/>
      <c r="D35" s="54" t="s">
        <v>60</v>
      </c>
      <c r="E35" s="24"/>
      <c r="F35" s="55" t="s">
        <v>61</v>
      </c>
    </row>
    <row r="37" spans="1:6" x14ac:dyDescent="0.2">
      <c r="A37" s="29" t="s">
        <v>700</v>
      </c>
      <c r="B37" s="27">
        <f>SUM(B9:B12)</f>
        <v>54106068409</v>
      </c>
      <c r="D37" s="27">
        <f>SUM(D9:D12)</f>
        <v>41956422114</v>
      </c>
      <c r="F37" s="42">
        <f>IF(B37=0,0,ROUND(D37/B37,3))</f>
        <v>0.77500000000000002</v>
      </c>
    </row>
    <row r="38" spans="1:6" x14ac:dyDescent="0.2">
      <c r="A38" s="29" t="s">
        <v>701</v>
      </c>
      <c r="B38" s="27">
        <f t="shared" ref="B38:B54" si="1">SUM(B10:B13)</f>
        <v>54531569310</v>
      </c>
      <c r="D38" s="27">
        <f t="shared" ref="D38:D54" si="2">SUM(D10:D13)</f>
        <v>42084231368</v>
      </c>
      <c r="F38" s="42">
        <f t="shared" ref="F38:F54" si="3">IF(B38=0,0,ROUND(D38/B38,3))</f>
        <v>0.77200000000000002</v>
      </c>
    </row>
    <row r="39" spans="1:6" x14ac:dyDescent="0.2">
      <c r="A39" s="29" t="s">
        <v>702</v>
      </c>
      <c r="B39" s="27">
        <f t="shared" si="1"/>
        <v>54799467617</v>
      </c>
      <c r="D39" s="27">
        <f t="shared" si="2"/>
        <v>42122866839</v>
      </c>
      <c r="F39" s="42">
        <f t="shared" si="3"/>
        <v>0.76900000000000002</v>
      </c>
    </row>
    <row r="40" spans="1:6" x14ac:dyDescent="0.2">
      <c r="A40" s="29" t="s">
        <v>703</v>
      </c>
      <c r="B40" s="27">
        <f t="shared" si="1"/>
        <v>54996729641</v>
      </c>
      <c r="D40" s="27">
        <f t="shared" si="2"/>
        <v>42561594402</v>
      </c>
      <c r="F40" s="42">
        <f t="shared" si="3"/>
        <v>0.77400000000000002</v>
      </c>
    </row>
    <row r="41" spans="1:6" x14ac:dyDescent="0.2">
      <c r="A41" s="29" t="s">
        <v>704</v>
      </c>
      <c r="B41" s="27">
        <f t="shared" si="1"/>
        <v>55339799756</v>
      </c>
      <c r="D41" s="27">
        <f t="shared" si="2"/>
        <v>42589463852</v>
      </c>
      <c r="F41" s="42">
        <f t="shared" si="3"/>
        <v>0.77</v>
      </c>
    </row>
    <row r="42" spans="1:6" x14ac:dyDescent="0.2">
      <c r="A42" s="29" t="s">
        <v>705</v>
      </c>
      <c r="B42" s="27">
        <f t="shared" si="1"/>
        <v>55579220915</v>
      </c>
      <c r="D42" s="27">
        <f t="shared" si="2"/>
        <v>42099760989</v>
      </c>
      <c r="F42" s="42">
        <f t="shared" si="3"/>
        <v>0.75700000000000001</v>
      </c>
    </row>
    <row r="43" spans="1:6" x14ac:dyDescent="0.2">
      <c r="A43" s="29" t="s">
        <v>706</v>
      </c>
      <c r="B43" s="27">
        <f t="shared" si="1"/>
        <v>55819959181</v>
      </c>
      <c r="D43" s="27">
        <f t="shared" si="2"/>
        <v>41724009182</v>
      </c>
      <c r="F43" s="42">
        <f t="shared" si="3"/>
        <v>0.747</v>
      </c>
    </row>
    <row r="44" spans="1:6" x14ac:dyDescent="0.2">
      <c r="A44" s="29" t="s">
        <v>707</v>
      </c>
      <c r="B44" s="27">
        <f t="shared" si="1"/>
        <v>56034181038</v>
      </c>
      <c r="D44" s="27">
        <f t="shared" si="2"/>
        <v>41479764505</v>
      </c>
      <c r="F44" s="42">
        <f t="shared" si="3"/>
        <v>0.74</v>
      </c>
    </row>
    <row r="45" spans="1:6" x14ac:dyDescent="0.2">
      <c r="A45" s="29" t="s">
        <v>708</v>
      </c>
      <c r="B45" s="27">
        <f t="shared" si="1"/>
        <v>56154568579</v>
      </c>
      <c r="D45" s="27">
        <f t="shared" si="2"/>
        <v>41634003132</v>
      </c>
      <c r="F45" s="42">
        <f t="shared" si="3"/>
        <v>0.74099999999999999</v>
      </c>
    </row>
    <row r="46" spans="1:6" x14ac:dyDescent="0.2">
      <c r="A46" s="29" t="s">
        <v>709</v>
      </c>
      <c r="B46" s="27">
        <f t="shared" si="1"/>
        <v>56169299291</v>
      </c>
      <c r="D46" s="27">
        <f t="shared" si="2"/>
        <v>42065873314</v>
      </c>
      <c r="F46" s="42">
        <f t="shared" si="3"/>
        <v>0.749</v>
      </c>
    </row>
    <row r="47" spans="1:6" x14ac:dyDescent="0.2">
      <c r="A47" s="29" t="s">
        <v>710</v>
      </c>
      <c r="B47" s="27">
        <f t="shared" si="1"/>
        <v>56095657957</v>
      </c>
      <c r="D47" s="27">
        <f t="shared" si="2"/>
        <v>42759183107</v>
      </c>
      <c r="F47" s="42">
        <f t="shared" si="3"/>
        <v>0.76200000000000001</v>
      </c>
    </row>
    <row r="48" spans="1:6" x14ac:dyDescent="0.2">
      <c r="A48" s="29" t="s">
        <v>711</v>
      </c>
      <c r="B48" s="27">
        <f t="shared" si="1"/>
        <v>55930524620</v>
      </c>
      <c r="D48" s="27">
        <f t="shared" si="2"/>
        <v>43498197717</v>
      </c>
      <c r="F48" s="42">
        <f t="shared" si="3"/>
        <v>0.77800000000000002</v>
      </c>
    </row>
    <row r="49" spans="1:12" x14ac:dyDescent="0.2">
      <c r="A49" s="29" t="s">
        <v>712</v>
      </c>
      <c r="B49" s="27">
        <f t="shared" si="1"/>
        <v>55639331556</v>
      </c>
      <c r="D49" s="27">
        <f t="shared" si="2"/>
        <v>43857764177</v>
      </c>
      <c r="F49" s="42">
        <f t="shared" si="3"/>
        <v>0.78800000000000003</v>
      </c>
    </row>
    <row r="50" spans="1:12" x14ac:dyDescent="0.2">
      <c r="A50" s="29" t="s">
        <v>713</v>
      </c>
      <c r="B50" s="27">
        <f t="shared" si="1"/>
        <v>55446802905</v>
      </c>
      <c r="D50" s="27">
        <f t="shared" si="2"/>
        <v>43870742064</v>
      </c>
      <c r="F50" s="42">
        <f t="shared" si="3"/>
        <v>0.79100000000000004</v>
      </c>
    </row>
    <row r="51" spans="1:12" x14ac:dyDescent="0.2">
      <c r="A51" s="29" t="s">
        <v>714</v>
      </c>
      <c r="B51" s="27">
        <f t="shared" si="1"/>
        <v>55267001153</v>
      </c>
      <c r="D51" s="27">
        <f t="shared" si="2"/>
        <v>44146347416</v>
      </c>
      <c r="F51" s="42">
        <f t="shared" si="3"/>
        <v>0.79900000000000004</v>
      </c>
    </row>
    <row r="52" spans="1:12" x14ac:dyDescent="0.2">
      <c r="A52" s="29" t="s">
        <v>715</v>
      </c>
      <c r="B52" s="27">
        <f t="shared" si="1"/>
        <v>55184617609</v>
      </c>
      <c r="D52" s="27">
        <f t="shared" si="2"/>
        <v>44079208858</v>
      </c>
      <c r="F52" s="42">
        <f t="shared" si="3"/>
        <v>0.79900000000000004</v>
      </c>
    </row>
    <row r="53" spans="1:12" x14ac:dyDescent="0.2">
      <c r="A53" s="29" t="s">
        <v>716</v>
      </c>
      <c r="B53" s="27">
        <f t="shared" si="1"/>
        <v>55200349824</v>
      </c>
      <c r="D53" s="27">
        <f t="shared" si="2"/>
        <v>44175700991</v>
      </c>
      <c r="F53" s="42">
        <f t="shared" si="3"/>
        <v>0.8</v>
      </c>
    </row>
    <row r="54" spans="1:12" x14ac:dyDescent="0.2">
      <c r="A54" s="29" t="s">
        <v>717</v>
      </c>
      <c r="B54" s="27">
        <f t="shared" si="1"/>
        <v>55222872573</v>
      </c>
      <c r="D54" s="27">
        <f t="shared" si="2"/>
        <v>44505892690</v>
      </c>
      <c r="F54" s="42">
        <f t="shared" si="3"/>
        <v>0.80600000000000005</v>
      </c>
    </row>
    <row r="55" spans="1:12" x14ac:dyDescent="0.2">
      <c r="A55" s="29" t="s">
        <v>718</v>
      </c>
    </row>
    <row r="56" spans="1:12" x14ac:dyDescent="0.2">
      <c r="A56" s="29" t="s">
        <v>719</v>
      </c>
    </row>
    <row r="60" spans="1:12" ht="13.5" x14ac:dyDescent="0.2">
      <c r="A60" s="21" t="s">
        <v>43</v>
      </c>
      <c r="B60" s="21"/>
      <c r="C60" s="21"/>
      <c r="D60" s="21"/>
      <c r="E60" s="21"/>
      <c r="F60" s="40"/>
      <c r="G60" s="21"/>
      <c r="H60" s="21"/>
      <c r="I60" s="21"/>
      <c r="J60" s="21"/>
      <c r="K60" s="21"/>
      <c r="L60" s="40"/>
    </row>
    <row r="61" spans="1:12" x14ac:dyDescent="0.2">
      <c r="A61" s="22" t="s">
        <v>62</v>
      </c>
      <c r="B61" s="21"/>
      <c r="C61" s="21"/>
      <c r="D61" s="21"/>
      <c r="E61" s="21"/>
      <c r="F61" s="40"/>
      <c r="G61" s="21"/>
      <c r="H61" s="21"/>
      <c r="I61" s="21"/>
      <c r="J61" s="21"/>
      <c r="K61" s="21"/>
      <c r="L61" s="40"/>
    </row>
    <row r="62" spans="1:12" x14ac:dyDescent="0.2">
      <c r="A62" s="71"/>
      <c r="B62" s="71"/>
      <c r="C62" s="17"/>
      <c r="D62" s="17"/>
      <c r="E62" s="17"/>
      <c r="F62" s="41"/>
      <c r="G62" s="17"/>
      <c r="H62" s="17"/>
      <c r="I62" s="17"/>
      <c r="J62" s="17"/>
      <c r="K62" s="17"/>
      <c r="L62" s="41"/>
    </row>
    <row r="63" spans="1:12" x14ac:dyDescent="0.2">
      <c r="A63" s="21" t="s">
        <v>63</v>
      </c>
      <c r="B63" s="21"/>
      <c r="C63" s="21"/>
      <c r="D63" s="21"/>
      <c r="E63" s="21"/>
      <c r="F63" s="40"/>
      <c r="G63" s="21"/>
      <c r="H63" s="17"/>
      <c r="I63" s="17"/>
      <c r="J63" s="17"/>
      <c r="K63" s="17"/>
      <c r="L63" s="41"/>
    </row>
    <row r="64" spans="1:12" x14ac:dyDescent="0.2">
      <c r="A64" s="22" t="s">
        <v>64</v>
      </c>
      <c r="B64" s="21"/>
      <c r="C64" s="22"/>
      <c r="D64" s="21"/>
      <c r="E64" s="21"/>
      <c r="F64" s="40"/>
      <c r="G64" s="17"/>
      <c r="H64" s="22" t="s">
        <v>65</v>
      </c>
      <c r="I64" s="21"/>
      <c r="J64" s="21"/>
      <c r="K64" s="21"/>
      <c r="L64" s="40"/>
    </row>
    <row r="65" spans="1:12" x14ac:dyDescent="0.2">
      <c r="A65" s="23"/>
      <c r="B65" s="23"/>
      <c r="C65" s="23"/>
      <c r="D65" s="17"/>
      <c r="E65" s="17"/>
      <c r="F65" s="41"/>
      <c r="G65" s="17"/>
      <c r="H65" s="17"/>
      <c r="I65" s="17"/>
      <c r="J65" s="17"/>
      <c r="K65" s="17"/>
      <c r="L65" s="41"/>
    </row>
    <row r="66" spans="1:12" x14ac:dyDescent="0.2">
      <c r="A66" s="48" t="s">
        <v>21</v>
      </c>
      <c r="B66" s="49" t="s">
        <v>66</v>
      </c>
      <c r="C66" s="15"/>
      <c r="D66" s="54" t="s">
        <v>60</v>
      </c>
      <c r="E66" s="24"/>
      <c r="F66" s="55" t="s">
        <v>61</v>
      </c>
      <c r="G66" s="24"/>
      <c r="H66" s="56" t="s">
        <v>67</v>
      </c>
      <c r="I66" s="15"/>
      <c r="J66" s="54" t="s">
        <v>60</v>
      </c>
      <c r="K66" s="24"/>
      <c r="L66" s="55" t="s">
        <v>61</v>
      </c>
    </row>
    <row r="68" spans="1:12" x14ac:dyDescent="0.2">
      <c r="A68" s="29" t="s">
        <v>722</v>
      </c>
      <c r="B68" s="27">
        <f>VLOOKUP(A68&amp;"COLL"&amp;State3,Sheet5!$AX$2:$AZ$190,2,FALSE)</f>
        <v>6532001335</v>
      </c>
      <c r="D68" s="27">
        <f>VLOOKUP(A68&amp;"COLL"&amp;State3,Sheet5!$AX$2:$AZ$190,3,FALSE)</f>
        <v>4557576218</v>
      </c>
      <c r="F68" s="42">
        <f>IF(B68=0,0,ROUND(D68/B68,3))</f>
        <v>0.69799999999999995</v>
      </c>
      <c r="H68" s="27">
        <f>VLOOKUP(A68&amp;"COMP"&amp;State3,Sheet5!$AX$2:$AZ$190,2,FALSE)</f>
        <v>3156529483</v>
      </c>
      <c r="J68" s="27">
        <f>VLOOKUP(A68&amp;"COMP"&amp;State3,Sheet5!$AX$2:$AZ$190,3,FALSE)</f>
        <v>1723742350</v>
      </c>
      <c r="L68" s="44">
        <f>IF(H68=0,0,ROUND(J68/H68,3))</f>
        <v>0.54600000000000004</v>
      </c>
    </row>
    <row r="69" spans="1:12" x14ac:dyDescent="0.2">
      <c r="A69" s="29" t="s">
        <v>723</v>
      </c>
      <c r="B69" s="27">
        <f>VLOOKUP(A69&amp;"COLL"&amp;State3,Sheet5!$AX$2:$AZ$190,2,FALSE)</f>
        <v>6665733995</v>
      </c>
      <c r="D69" s="27">
        <f>VLOOKUP(A69&amp;"COLL"&amp;State3,Sheet5!$AX$2:$AZ$190,3,FALSE)</f>
        <v>4055819556</v>
      </c>
      <c r="F69" s="42">
        <f t="shared" ref="F69:F88" si="4">IF(B69=0,0,ROUND(D69/B69,3))</f>
        <v>0.60799999999999998</v>
      </c>
      <c r="H69" s="27">
        <f>VLOOKUP(A69&amp;"COMP"&amp;State3,Sheet5!$AX$2:$AZ$190,2,FALSE)</f>
        <v>3220479834</v>
      </c>
      <c r="J69" s="27">
        <f>VLOOKUP(A69&amp;"COMP"&amp;State3,Sheet5!$AX$2:$AZ$190,3,FALSE)</f>
        <v>2126234846</v>
      </c>
      <c r="L69" s="44">
        <f t="shared" ref="L69:L88" si="5">IF(H69=0,0,ROUND(J69/H69,3))</f>
        <v>0.66</v>
      </c>
    </row>
    <row r="70" spans="1:12" x14ac:dyDescent="0.2">
      <c r="A70" s="29" t="s">
        <v>724</v>
      </c>
      <c r="B70" s="27">
        <f>VLOOKUP(A70&amp;"COLL"&amp;State3,Sheet5!$AX$2:$AZ$190,2,FALSE)</f>
        <v>6748241379</v>
      </c>
      <c r="D70" s="27">
        <f>VLOOKUP(A70&amp;"COLL"&amp;State3,Sheet5!$AX$2:$AZ$190,3,FALSE)</f>
        <v>4279042358</v>
      </c>
      <c r="F70" s="42">
        <f t="shared" si="4"/>
        <v>0.63400000000000001</v>
      </c>
      <c r="H70" s="27">
        <f>VLOOKUP(A70&amp;"COMP"&amp;State3,Sheet5!$AX$2:$AZ$190,2,FALSE)</f>
        <v>3248278353</v>
      </c>
      <c r="J70" s="27">
        <f>VLOOKUP(A70&amp;"COMP"&amp;State3,Sheet5!$AX$2:$AZ$190,3,FALSE)</f>
        <v>2285251591</v>
      </c>
      <c r="L70" s="44">
        <f t="shared" si="5"/>
        <v>0.70399999999999996</v>
      </c>
    </row>
    <row r="71" spans="1:12" x14ac:dyDescent="0.2">
      <c r="A71" s="29" t="s">
        <v>700</v>
      </c>
      <c r="B71" s="27">
        <f>VLOOKUP(A71&amp;"COLL"&amp;State3,Sheet5!$AX$2:$AZ$190,2,FALSE)</f>
        <v>6739862585</v>
      </c>
      <c r="D71" s="27">
        <f>VLOOKUP(A71&amp;"COLL"&amp;State3,Sheet5!$AX$2:$AZ$190,3,FALSE)</f>
        <v>4686986839</v>
      </c>
      <c r="F71" s="42">
        <f t="shared" si="4"/>
        <v>0.69499999999999995</v>
      </c>
      <c r="H71" s="27">
        <f>VLOOKUP(A71&amp;"COMP"&amp;State3,Sheet5!$AX$2:$AZ$190,2,FALSE)</f>
        <v>3241187435</v>
      </c>
      <c r="J71" s="27">
        <f>VLOOKUP(A71&amp;"COMP"&amp;State3,Sheet5!$AX$2:$AZ$190,3,FALSE)</f>
        <v>1972724622</v>
      </c>
      <c r="L71" s="44">
        <f t="shared" si="5"/>
        <v>0.60899999999999999</v>
      </c>
    </row>
    <row r="72" spans="1:12" x14ac:dyDescent="0.2">
      <c r="A72" s="29" t="s">
        <v>701</v>
      </c>
      <c r="B72" s="27">
        <f>VLOOKUP(A72&amp;"COLL"&amp;State3,Sheet5!$AX$2:$AZ$190,2,FALSE)</f>
        <v>6710684225</v>
      </c>
      <c r="D72" s="27">
        <f>VLOOKUP(A72&amp;"COLL"&amp;State3,Sheet5!$AX$2:$AZ$190,3,FALSE)</f>
        <v>4814970742</v>
      </c>
      <c r="F72" s="42">
        <f t="shared" si="4"/>
        <v>0.71799999999999997</v>
      </c>
      <c r="H72" s="27">
        <f>VLOOKUP(A72&amp;"COMP"&amp;State3,Sheet5!$AX$2:$AZ$190,2,FALSE)</f>
        <v>3234421359</v>
      </c>
      <c r="J72" s="27">
        <f>VLOOKUP(A72&amp;"COMP"&amp;State3,Sheet5!$AX$2:$AZ$190,3,FALSE)</f>
        <v>1745346141</v>
      </c>
      <c r="L72" s="44">
        <f t="shared" si="5"/>
        <v>0.54</v>
      </c>
    </row>
    <row r="73" spans="1:12" x14ac:dyDescent="0.2">
      <c r="A73" s="29" t="s">
        <v>702</v>
      </c>
      <c r="B73" s="27">
        <f>VLOOKUP(A73&amp;"COLL"&amp;State3,Sheet5!$AX$2:$AZ$190,2,FALSE)</f>
        <v>6748025517</v>
      </c>
      <c r="D73" s="27">
        <f>VLOOKUP(A73&amp;"COLL"&amp;State3,Sheet5!$AX$2:$AZ$190,3,FALSE)</f>
        <v>4327495894</v>
      </c>
      <c r="F73" s="42">
        <f t="shared" si="4"/>
        <v>0.64100000000000001</v>
      </c>
      <c r="H73" s="27">
        <f>VLOOKUP(A73&amp;"COMP"&amp;State3,Sheet5!$AX$2:$AZ$190,2,FALSE)</f>
        <v>3234024390</v>
      </c>
      <c r="J73" s="27">
        <f>VLOOKUP(A73&amp;"COMP"&amp;State3,Sheet5!$AX$2:$AZ$190,3,FALSE)</f>
        <v>2017989293</v>
      </c>
      <c r="L73" s="44">
        <f t="shared" si="5"/>
        <v>0.624</v>
      </c>
    </row>
    <row r="74" spans="1:12" x14ac:dyDescent="0.2">
      <c r="A74" s="29" t="s">
        <v>703</v>
      </c>
      <c r="B74" s="27">
        <f>VLOOKUP(A74&amp;"COLL"&amp;State3,Sheet5!$AX$2:$AZ$190,2,FALSE)</f>
        <v>6786517896</v>
      </c>
      <c r="D74" s="27">
        <f>VLOOKUP(A74&amp;"COLL"&amp;State3,Sheet5!$AX$2:$AZ$190,3,FALSE)</f>
        <v>4406957643</v>
      </c>
      <c r="F74" s="42">
        <f t="shared" si="4"/>
        <v>0.64900000000000002</v>
      </c>
      <c r="H74" s="27">
        <f>VLOOKUP(A74&amp;"COMP"&amp;State3,Sheet5!$AX$2:$AZ$190,2,FALSE)</f>
        <v>3239843333</v>
      </c>
      <c r="J74" s="27">
        <f>VLOOKUP(A74&amp;"COMP"&amp;State3,Sheet5!$AX$2:$AZ$190,3,FALSE)</f>
        <v>2958990103</v>
      </c>
      <c r="L74" s="44">
        <f t="shared" si="5"/>
        <v>0.91300000000000003</v>
      </c>
    </row>
    <row r="75" spans="1:12" x14ac:dyDescent="0.2">
      <c r="A75" s="29" t="s">
        <v>704</v>
      </c>
      <c r="B75" s="27">
        <f>VLOOKUP(A75&amp;"COLL"&amp;State3,Sheet5!$AX$2:$AZ$190,2,FALSE)</f>
        <v>6844368484</v>
      </c>
      <c r="D75" s="27">
        <f>VLOOKUP(A75&amp;"COLL"&amp;State3,Sheet5!$AX$2:$AZ$190,3,FALSE)</f>
        <v>4946322969</v>
      </c>
      <c r="F75" s="42">
        <f t="shared" si="4"/>
        <v>0.72299999999999998</v>
      </c>
      <c r="H75" s="27">
        <f>VLOOKUP(A75&amp;"COMP"&amp;State3,Sheet5!$AX$2:$AZ$190,2,FALSE)</f>
        <v>3244573641</v>
      </c>
      <c r="J75" s="27">
        <f>VLOOKUP(A75&amp;"COMP"&amp;State3,Sheet5!$AX$2:$AZ$190,3,FALSE)</f>
        <v>2556038938</v>
      </c>
      <c r="L75" s="44">
        <f t="shared" si="5"/>
        <v>0.78800000000000003</v>
      </c>
    </row>
    <row r="76" spans="1:12" x14ac:dyDescent="0.2">
      <c r="A76" s="29" t="s">
        <v>705</v>
      </c>
      <c r="B76" s="27">
        <f>VLOOKUP(A76&amp;"COLL"&amp;State3,Sheet5!$AX$2:$AZ$190,2,FALSE)</f>
        <v>6592976677</v>
      </c>
      <c r="D76" s="27">
        <f>VLOOKUP(A76&amp;"COLL"&amp;State3,Sheet5!$AX$2:$AZ$190,3,FALSE)</f>
        <v>4690721770</v>
      </c>
      <c r="F76" s="42">
        <f t="shared" si="4"/>
        <v>0.71099999999999997</v>
      </c>
      <c r="H76" s="27">
        <f>VLOOKUP(A76&amp;"COMP"&amp;State3,Sheet5!$AX$2:$AZ$190,2,FALSE)</f>
        <v>3116785962</v>
      </c>
      <c r="J76" s="27">
        <f>VLOOKUP(A76&amp;"COMP"&amp;State3,Sheet5!$AX$2:$AZ$190,3,FALSE)</f>
        <v>1743977804</v>
      </c>
      <c r="L76" s="44">
        <f t="shared" si="5"/>
        <v>0.56000000000000005</v>
      </c>
    </row>
    <row r="77" spans="1:12" x14ac:dyDescent="0.2">
      <c r="A77" s="29" t="s">
        <v>706</v>
      </c>
      <c r="B77" s="27">
        <f>VLOOKUP(A77&amp;"COLL"&amp;State3,Sheet5!$AX$2:$AZ$190,2,FALSE)</f>
        <v>6669922840</v>
      </c>
      <c r="D77" s="27">
        <f>VLOOKUP(A77&amp;"COLL"&amp;State3,Sheet5!$AX$2:$AZ$190,3,FALSE)</f>
        <v>4337153448</v>
      </c>
      <c r="F77" s="42">
        <f t="shared" si="4"/>
        <v>0.65</v>
      </c>
      <c r="H77" s="27">
        <f>VLOOKUP(A77&amp;"COMP"&amp;State3,Sheet5!$AX$2:$AZ$190,2,FALSE)</f>
        <v>3120988172</v>
      </c>
      <c r="J77" s="27">
        <f>VLOOKUP(A77&amp;"COMP"&amp;State3,Sheet5!$AX$2:$AZ$190,3,FALSE)</f>
        <v>2369918865</v>
      </c>
      <c r="L77" s="44">
        <f t="shared" si="5"/>
        <v>0.75900000000000001</v>
      </c>
    </row>
    <row r="78" spans="1:12" x14ac:dyDescent="0.2">
      <c r="A78" s="29" t="s">
        <v>707</v>
      </c>
      <c r="B78" s="27">
        <f>VLOOKUP(A78&amp;"COLL"&amp;State3,Sheet5!$AX$2:$AZ$190,2,FALSE)</f>
        <v>6698891922</v>
      </c>
      <c r="D78" s="27">
        <f>VLOOKUP(A78&amp;"COLL"&amp;State3,Sheet5!$AX$2:$AZ$190,3,FALSE)</f>
        <v>4385062245</v>
      </c>
      <c r="F78" s="42">
        <f t="shared" si="4"/>
        <v>0.65500000000000003</v>
      </c>
      <c r="H78" s="27">
        <f>VLOOKUP(A78&amp;"COMP"&amp;State3,Sheet5!$AX$2:$AZ$190,2,FALSE)</f>
        <v>3120423478</v>
      </c>
      <c r="J78" s="27">
        <f>VLOOKUP(A78&amp;"COMP"&amp;State3,Sheet5!$AX$2:$AZ$190,3,FALSE)</f>
        <v>1928500321</v>
      </c>
      <c r="L78" s="44">
        <f t="shared" si="5"/>
        <v>0.61799999999999999</v>
      </c>
    </row>
    <row r="79" spans="1:12" x14ac:dyDescent="0.2">
      <c r="A79" s="29" t="s">
        <v>708</v>
      </c>
      <c r="B79" s="27">
        <f>VLOOKUP(A79&amp;"COLL"&amp;State3,Sheet5!$AX$2:$AZ$190,2,FALSE)</f>
        <v>6683540161</v>
      </c>
      <c r="D79" s="27">
        <f>VLOOKUP(A79&amp;"COLL"&amp;State3,Sheet5!$AX$2:$AZ$190,3,FALSE)</f>
        <v>4828317935</v>
      </c>
      <c r="F79" s="42">
        <f t="shared" si="4"/>
        <v>0.72199999999999998</v>
      </c>
      <c r="H79" s="27">
        <f>VLOOKUP(A79&amp;"COMP"&amp;State3,Sheet5!$AX$2:$AZ$190,2,FALSE)</f>
        <v>3095381565</v>
      </c>
      <c r="J79" s="27">
        <f>VLOOKUP(A79&amp;"COMP"&amp;State3,Sheet5!$AX$2:$AZ$190,3,FALSE)</f>
        <v>2097258332</v>
      </c>
      <c r="L79" s="44">
        <f t="shared" si="5"/>
        <v>0.67800000000000005</v>
      </c>
    </row>
    <row r="80" spans="1:12" x14ac:dyDescent="0.2">
      <c r="A80" s="29" t="s">
        <v>709</v>
      </c>
      <c r="B80" s="27">
        <f>VLOOKUP(A80&amp;"COLL"&amp;State3,Sheet5!$AX$2:$AZ$190,2,FALSE)</f>
        <v>6628052655</v>
      </c>
      <c r="D80" s="27">
        <f>VLOOKUP(A80&amp;"COLL"&amp;State3,Sheet5!$AX$2:$AZ$190,3,FALSE)</f>
        <v>5024065103</v>
      </c>
      <c r="F80" s="42">
        <f t="shared" si="4"/>
        <v>0.75800000000000001</v>
      </c>
      <c r="H80" s="27">
        <f>VLOOKUP(A80&amp;"COMP"&amp;State3,Sheet5!$AX$2:$AZ$190,2,FALSE)</f>
        <v>3063100289</v>
      </c>
      <c r="J80" s="27">
        <f>VLOOKUP(A80&amp;"COMP"&amp;State3,Sheet5!$AX$2:$AZ$190,3,FALSE)</f>
        <v>1773977735</v>
      </c>
      <c r="L80" s="44">
        <f t="shared" si="5"/>
        <v>0.57899999999999996</v>
      </c>
    </row>
    <row r="81" spans="1:12" x14ac:dyDescent="0.2">
      <c r="A81" s="29" t="s">
        <v>710</v>
      </c>
      <c r="B81" s="27">
        <f>VLOOKUP(A81&amp;"COLL"&amp;State3,Sheet5!$AX$2:$AZ$190,2,FALSE)</f>
        <v>6633398625</v>
      </c>
      <c r="D81" s="27">
        <f>VLOOKUP(A81&amp;"COLL"&amp;State3,Sheet5!$AX$2:$AZ$190,3,FALSE)</f>
        <v>4485873030</v>
      </c>
      <c r="F81" s="42">
        <f t="shared" si="4"/>
        <v>0.67600000000000005</v>
      </c>
      <c r="H81" s="27">
        <f>VLOOKUP(A81&amp;"COMP"&amp;State3,Sheet5!$AX$2:$AZ$190,2,FALSE)</f>
        <v>3045413903</v>
      </c>
      <c r="J81" s="27">
        <f>VLOOKUP(A81&amp;"COMP"&amp;State3,Sheet5!$AX$2:$AZ$190,3,FALSE)</f>
        <v>2085854170</v>
      </c>
      <c r="L81" s="44">
        <f t="shared" si="5"/>
        <v>0.68500000000000005</v>
      </c>
    </row>
    <row r="82" spans="1:12" x14ac:dyDescent="0.2">
      <c r="A82" s="29" t="s">
        <v>711</v>
      </c>
      <c r="B82" s="27">
        <f>VLOOKUP(A82&amp;"COLL"&amp;State3,Sheet5!$AX$2:$AZ$190,2,FALSE)</f>
        <v>6599607969</v>
      </c>
      <c r="D82" s="27">
        <f>VLOOKUP(A82&amp;"COLL"&amp;State3,Sheet5!$AX$2:$AZ$190,3,FALSE)</f>
        <v>4448766561</v>
      </c>
      <c r="F82" s="42">
        <f t="shared" si="4"/>
        <v>0.67400000000000004</v>
      </c>
      <c r="H82" s="27">
        <f>VLOOKUP(A82&amp;"COMP"&amp;State3,Sheet5!$AX$2:$AZ$190,2,FALSE)</f>
        <v>3025003396</v>
      </c>
      <c r="J82" s="27">
        <f>VLOOKUP(A82&amp;"COMP"&amp;State3,Sheet5!$AX$2:$AZ$190,3,FALSE)</f>
        <v>2058234373</v>
      </c>
      <c r="L82" s="44">
        <f t="shared" si="5"/>
        <v>0.68</v>
      </c>
    </row>
    <row r="83" spans="1:12" x14ac:dyDescent="0.2">
      <c r="A83" s="29" t="s">
        <v>712</v>
      </c>
      <c r="B83" s="27">
        <f>VLOOKUP(A83&amp;"COLL"&amp;State3,Sheet5!$AX$2:$AZ$190,2,FALSE)</f>
        <v>6560187376</v>
      </c>
      <c r="D83" s="27">
        <f>VLOOKUP(A83&amp;"COLL"&amp;State3,Sheet5!$AX$2:$AZ$190,3,FALSE)</f>
        <v>4988617718</v>
      </c>
      <c r="F83" s="42">
        <f t="shared" si="4"/>
        <v>0.76</v>
      </c>
      <c r="H83" s="27">
        <f>VLOOKUP(A83&amp;"COMP"&amp;State3,Sheet5!$AX$2:$AZ$190,2,FALSE)</f>
        <v>3004117491</v>
      </c>
      <c r="J83" s="27">
        <f>VLOOKUP(A83&amp;"COMP"&amp;State3,Sheet5!$AX$2:$AZ$190,3,FALSE)</f>
        <v>2043114851</v>
      </c>
      <c r="L83" s="44">
        <f t="shared" si="5"/>
        <v>0.68</v>
      </c>
    </row>
    <row r="84" spans="1:12" x14ac:dyDescent="0.2">
      <c r="A84" s="29" t="s">
        <v>713</v>
      </c>
      <c r="B84" s="27">
        <f>VLOOKUP(A84&amp;"COLL"&amp;State3,Sheet5!$AX$2:$AZ$190,2,FALSE)</f>
        <v>6540399956</v>
      </c>
      <c r="D84" s="27">
        <f>VLOOKUP(A84&amp;"COLL"&amp;State3,Sheet5!$AX$2:$AZ$190,3,FALSE)</f>
        <v>5194073611</v>
      </c>
      <c r="F84" s="42">
        <f t="shared" si="4"/>
        <v>0.79400000000000004</v>
      </c>
      <c r="H84" s="27">
        <f>VLOOKUP(A84&amp;"COMP"&amp;State3,Sheet5!$AX$2:$AZ$190,2,FALSE)</f>
        <v>2990596441</v>
      </c>
      <c r="J84" s="27">
        <f>VLOOKUP(A84&amp;"COMP"&amp;State3,Sheet5!$AX$2:$AZ$190,3,FALSE)</f>
        <v>1883806466</v>
      </c>
      <c r="L84" s="44">
        <f t="shared" si="5"/>
        <v>0.63</v>
      </c>
    </row>
    <row r="85" spans="1:12" x14ac:dyDescent="0.2">
      <c r="A85" s="29" t="s">
        <v>714</v>
      </c>
      <c r="B85" s="27">
        <f>VLOOKUP(A85&amp;"COLL"&amp;State3,Sheet5!$AX$2:$AZ$190,2,FALSE)</f>
        <v>6567439011</v>
      </c>
      <c r="D85" s="27">
        <f>VLOOKUP(A85&amp;"COLL"&amp;State3,Sheet5!$AX$2:$AZ$190,3,FALSE)</f>
        <v>4257403324</v>
      </c>
      <c r="F85" s="42">
        <f t="shared" si="4"/>
        <v>0.64800000000000002</v>
      </c>
      <c r="H85" s="27">
        <f>VLOOKUP(A85&amp;"COMP"&amp;State3,Sheet5!$AX$2:$AZ$190,2,FALSE)</f>
        <v>2995896398</v>
      </c>
      <c r="J85" s="27">
        <f>VLOOKUP(A85&amp;"COMP"&amp;State3,Sheet5!$AX$2:$AZ$190,3,FALSE)</f>
        <v>2653153282</v>
      </c>
      <c r="L85" s="44">
        <f t="shared" si="5"/>
        <v>0.88600000000000001</v>
      </c>
    </row>
    <row r="86" spans="1:12" x14ac:dyDescent="0.2">
      <c r="A86" s="29" t="s">
        <v>715</v>
      </c>
      <c r="B86" s="27">
        <f>VLOOKUP(A86&amp;"COLL"&amp;State3,Sheet5!$AX$2:$AZ$190,2,FALSE)</f>
        <v>6572816039</v>
      </c>
      <c r="D86" s="27">
        <f>VLOOKUP(A86&amp;"COLL"&amp;State3,Sheet5!$AX$2:$AZ$190,3,FALSE)</f>
        <v>4299800982</v>
      </c>
      <c r="F86" s="42">
        <f t="shared" si="4"/>
        <v>0.65400000000000003</v>
      </c>
      <c r="H86" s="27">
        <f>VLOOKUP(A86&amp;"COMP"&amp;State3,Sheet5!$AX$2:$AZ$190,2,FALSE)</f>
        <v>2992940448</v>
      </c>
      <c r="J86" s="27">
        <f>VLOOKUP(A86&amp;"COMP"&amp;State3,Sheet5!$AX$2:$AZ$190,3,FALSE)</f>
        <v>2338168838</v>
      </c>
      <c r="L86" s="44">
        <f t="shared" si="5"/>
        <v>0.78100000000000003</v>
      </c>
    </row>
    <row r="87" spans="1:12" x14ac:dyDescent="0.2">
      <c r="A87" s="29" t="s">
        <v>716</v>
      </c>
      <c r="B87" s="27">
        <f>VLOOKUP(A87&amp;"COLL"&amp;State3,Sheet5!$AX$2:$AZ$190,2,FALSE)</f>
        <v>6516387369</v>
      </c>
      <c r="D87" s="27">
        <f>VLOOKUP(A87&amp;"COLL"&amp;State3,Sheet5!$AX$2:$AZ$190,3,FALSE)</f>
        <v>4819403823</v>
      </c>
      <c r="F87" s="42">
        <f t="shared" si="4"/>
        <v>0.74</v>
      </c>
      <c r="H87" s="27">
        <f>VLOOKUP(A87&amp;"COMP"&amp;State3,Sheet5!$AX$2:$AZ$190,2,FALSE)</f>
        <v>2973718623</v>
      </c>
      <c r="J87" s="27">
        <f>VLOOKUP(A87&amp;"COMP"&amp;State3,Sheet5!$AX$2:$AZ$190,3,FALSE)</f>
        <v>2080482576</v>
      </c>
      <c r="L87" s="44">
        <f t="shared" si="5"/>
        <v>0.7</v>
      </c>
    </row>
    <row r="88" spans="1:12" x14ac:dyDescent="0.2">
      <c r="A88" s="29" t="s">
        <v>717</v>
      </c>
      <c r="B88" s="27">
        <f>VLOOKUP(A88&amp;"COLL"&amp;State3,Sheet5!$AX$2:$AZ$190,2,FALSE)</f>
        <v>6455050759</v>
      </c>
      <c r="D88" s="27">
        <f>VLOOKUP(A88&amp;"COLL"&amp;State3,Sheet5!$AX$2:$AZ$190,3,FALSE)</f>
        <v>4747368924</v>
      </c>
      <c r="F88" s="42">
        <f t="shared" si="4"/>
        <v>0.73499999999999999</v>
      </c>
      <c r="H88" s="27">
        <f>VLOOKUP(A88&amp;"COMP"&amp;State3,Sheet5!$AX$2:$AZ$190,2,FALSE)</f>
        <v>2924891168</v>
      </c>
      <c r="J88" s="27">
        <f>VLOOKUP(A88&amp;"COMP"&amp;State3,Sheet5!$AX$2:$AZ$190,3,FALSE)</f>
        <v>1879467448</v>
      </c>
      <c r="L88" s="44">
        <f t="shared" si="5"/>
        <v>0.64300000000000002</v>
      </c>
    </row>
    <row r="89" spans="1:12" x14ac:dyDescent="0.2">
      <c r="A89" s="29" t="s">
        <v>718</v>
      </c>
    </row>
    <row r="90" spans="1:12" x14ac:dyDescent="0.2">
      <c r="A90" s="29" t="s">
        <v>719</v>
      </c>
    </row>
    <row r="94" spans="1:12" x14ac:dyDescent="0.2">
      <c r="A94" s="48" t="s">
        <v>744</v>
      </c>
      <c r="B94" s="49" t="s">
        <v>66</v>
      </c>
      <c r="C94" s="15"/>
      <c r="D94" s="54" t="s">
        <v>60</v>
      </c>
      <c r="E94" s="24"/>
      <c r="F94" s="55" t="s">
        <v>61</v>
      </c>
      <c r="G94" s="24"/>
      <c r="H94" s="56" t="s">
        <v>67</v>
      </c>
      <c r="I94" s="15"/>
      <c r="J94" s="54" t="s">
        <v>60</v>
      </c>
      <c r="K94" s="24"/>
      <c r="L94" s="55" t="s">
        <v>61</v>
      </c>
    </row>
    <row r="96" spans="1:12" x14ac:dyDescent="0.2">
      <c r="A96" s="29" t="s">
        <v>700</v>
      </c>
      <c r="B96" s="27">
        <f>SUM(B68:B71)</f>
        <v>26685839294</v>
      </c>
      <c r="D96" s="27">
        <f>SUM(D68:D71)</f>
        <v>17579424971</v>
      </c>
      <c r="F96" s="42">
        <f>IF(B96=0,0,ROUND(D96/B96,3))</f>
        <v>0.65900000000000003</v>
      </c>
      <c r="H96" s="27">
        <f>SUM(H68:H71)</f>
        <v>12866475105</v>
      </c>
      <c r="J96" s="27">
        <f>SUM(J68:J71)</f>
        <v>8107953409</v>
      </c>
      <c r="L96" s="44">
        <f>IF(H96=0,0,ROUND(J96/H96,3))</f>
        <v>0.63</v>
      </c>
    </row>
    <row r="97" spans="1:12" x14ac:dyDescent="0.2">
      <c r="A97" s="29" t="s">
        <v>701</v>
      </c>
      <c r="B97" s="27">
        <f t="shared" ref="B97:B113" si="6">SUM(B69:B72)</f>
        <v>26864522184</v>
      </c>
      <c r="D97" s="27">
        <f t="shared" ref="D97:D113" si="7">SUM(D69:D72)</f>
        <v>17836819495</v>
      </c>
      <c r="F97" s="42">
        <f t="shared" ref="F97:F113" si="8">IF(B97=0,0,ROUND(D97/B97,3))</f>
        <v>0.66400000000000003</v>
      </c>
      <c r="H97" s="27">
        <f t="shared" ref="H97:H113" si="9">SUM(H69:H72)</f>
        <v>12944366981</v>
      </c>
      <c r="J97" s="27">
        <f t="shared" ref="J97:J113" si="10">SUM(J69:J72)</f>
        <v>8129557200</v>
      </c>
      <c r="L97" s="44">
        <f t="shared" ref="L97:L113" si="11">IF(H97=0,0,ROUND(J97/H97,3))</f>
        <v>0.628</v>
      </c>
    </row>
    <row r="98" spans="1:12" x14ac:dyDescent="0.2">
      <c r="A98" s="29" t="s">
        <v>702</v>
      </c>
      <c r="B98" s="27">
        <f t="shared" si="6"/>
        <v>26946813706</v>
      </c>
      <c r="D98" s="27">
        <f t="shared" si="7"/>
        <v>18108495833</v>
      </c>
      <c r="F98" s="42">
        <f t="shared" si="8"/>
        <v>0.67200000000000004</v>
      </c>
      <c r="H98" s="27">
        <f t="shared" si="9"/>
        <v>12957911537</v>
      </c>
      <c r="J98" s="27">
        <f t="shared" si="10"/>
        <v>8021311647</v>
      </c>
      <c r="L98" s="44">
        <f t="shared" si="11"/>
        <v>0.61899999999999999</v>
      </c>
    </row>
    <row r="99" spans="1:12" x14ac:dyDescent="0.2">
      <c r="A99" s="29" t="s">
        <v>703</v>
      </c>
      <c r="B99" s="27">
        <f t="shared" si="6"/>
        <v>26985090223</v>
      </c>
      <c r="D99" s="27">
        <f t="shared" si="7"/>
        <v>18236411118</v>
      </c>
      <c r="F99" s="42">
        <f t="shared" si="8"/>
        <v>0.67600000000000005</v>
      </c>
      <c r="H99" s="27">
        <f t="shared" si="9"/>
        <v>12949476517</v>
      </c>
      <c r="J99" s="27">
        <f t="shared" si="10"/>
        <v>8695050159</v>
      </c>
      <c r="L99" s="44">
        <f t="shared" si="11"/>
        <v>0.67100000000000004</v>
      </c>
    </row>
    <row r="100" spans="1:12" x14ac:dyDescent="0.2">
      <c r="A100" s="29" t="s">
        <v>704</v>
      </c>
      <c r="B100" s="27">
        <f t="shared" si="6"/>
        <v>27089596122</v>
      </c>
      <c r="D100" s="27">
        <f t="shared" si="7"/>
        <v>18495747248</v>
      </c>
      <c r="F100" s="42">
        <f t="shared" si="8"/>
        <v>0.68300000000000005</v>
      </c>
      <c r="H100" s="27">
        <f t="shared" si="9"/>
        <v>12952862723</v>
      </c>
      <c r="J100" s="27">
        <f t="shared" si="10"/>
        <v>9278364475</v>
      </c>
      <c r="L100" s="44">
        <f t="shared" si="11"/>
        <v>0.71599999999999997</v>
      </c>
    </row>
    <row r="101" spans="1:12" x14ac:dyDescent="0.2">
      <c r="A101" s="29" t="s">
        <v>705</v>
      </c>
      <c r="B101" s="27">
        <f t="shared" si="6"/>
        <v>26971888574</v>
      </c>
      <c r="D101" s="27">
        <f t="shared" si="7"/>
        <v>18371498276</v>
      </c>
      <c r="F101" s="42">
        <f t="shared" si="8"/>
        <v>0.68100000000000005</v>
      </c>
      <c r="H101" s="27">
        <f t="shared" si="9"/>
        <v>12835227326</v>
      </c>
      <c r="J101" s="27">
        <f t="shared" si="10"/>
        <v>9276996138</v>
      </c>
      <c r="L101" s="44">
        <f t="shared" si="11"/>
        <v>0.72299999999999998</v>
      </c>
    </row>
    <row r="102" spans="1:12" x14ac:dyDescent="0.2">
      <c r="A102" s="29" t="s">
        <v>706</v>
      </c>
      <c r="B102" s="27">
        <f t="shared" si="6"/>
        <v>26893785897</v>
      </c>
      <c r="D102" s="27">
        <f t="shared" si="7"/>
        <v>18381155830</v>
      </c>
      <c r="F102" s="42">
        <f t="shared" si="8"/>
        <v>0.68300000000000005</v>
      </c>
      <c r="H102" s="27">
        <f t="shared" si="9"/>
        <v>12722191108</v>
      </c>
      <c r="J102" s="27">
        <f t="shared" si="10"/>
        <v>9628925710</v>
      </c>
      <c r="L102" s="44">
        <f t="shared" si="11"/>
        <v>0.75700000000000001</v>
      </c>
    </row>
    <row r="103" spans="1:12" x14ac:dyDescent="0.2">
      <c r="A103" s="29" t="s">
        <v>707</v>
      </c>
      <c r="B103" s="27">
        <f t="shared" si="6"/>
        <v>26806159923</v>
      </c>
      <c r="D103" s="27">
        <f t="shared" si="7"/>
        <v>18359260432</v>
      </c>
      <c r="F103" s="42">
        <f t="shared" si="8"/>
        <v>0.68500000000000005</v>
      </c>
      <c r="H103" s="27">
        <f t="shared" si="9"/>
        <v>12602771253</v>
      </c>
      <c r="J103" s="27">
        <f t="shared" si="10"/>
        <v>8598435928</v>
      </c>
      <c r="L103" s="44">
        <f t="shared" si="11"/>
        <v>0.68200000000000005</v>
      </c>
    </row>
    <row r="104" spans="1:12" x14ac:dyDescent="0.2">
      <c r="A104" s="29" t="s">
        <v>708</v>
      </c>
      <c r="B104" s="27">
        <f t="shared" si="6"/>
        <v>26645331600</v>
      </c>
      <c r="D104" s="27">
        <f t="shared" si="7"/>
        <v>18241255398</v>
      </c>
      <c r="F104" s="42">
        <f t="shared" si="8"/>
        <v>0.68500000000000005</v>
      </c>
      <c r="H104" s="27">
        <f t="shared" si="9"/>
        <v>12453579177</v>
      </c>
      <c r="J104" s="27">
        <f t="shared" si="10"/>
        <v>8139655322</v>
      </c>
      <c r="L104" s="44">
        <f t="shared" si="11"/>
        <v>0.65400000000000003</v>
      </c>
    </row>
    <row r="105" spans="1:12" x14ac:dyDescent="0.2">
      <c r="A105" s="29" t="s">
        <v>709</v>
      </c>
      <c r="B105" s="27">
        <f t="shared" si="6"/>
        <v>26680407578</v>
      </c>
      <c r="D105" s="27">
        <f t="shared" si="7"/>
        <v>18574598731</v>
      </c>
      <c r="F105" s="42">
        <f t="shared" si="8"/>
        <v>0.69599999999999995</v>
      </c>
      <c r="H105" s="27">
        <f t="shared" si="9"/>
        <v>12399893504</v>
      </c>
      <c r="J105" s="27">
        <f t="shared" si="10"/>
        <v>8169655253</v>
      </c>
      <c r="L105" s="44">
        <f t="shared" si="11"/>
        <v>0.65900000000000003</v>
      </c>
    </row>
    <row r="106" spans="1:12" x14ac:dyDescent="0.2">
      <c r="A106" s="29" t="s">
        <v>710</v>
      </c>
      <c r="B106" s="27">
        <f t="shared" si="6"/>
        <v>26643883363</v>
      </c>
      <c r="D106" s="27">
        <f t="shared" si="7"/>
        <v>18723318313</v>
      </c>
      <c r="F106" s="42">
        <f t="shared" si="8"/>
        <v>0.70299999999999996</v>
      </c>
      <c r="H106" s="27">
        <f t="shared" si="9"/>
        <v>12324319235</v>
      </c>
      <c r="J106" s="27">
        <f t="shared" si="10"/>
        <v>7885590558</v>
      </c>
      <c r="L106" s="44">
        <f t="shared" si="11"/>
        <v>0.64</v>
      </c>
    </row>
    <row r="107" spans="1:12" x14ac:dyDescent="0.2">
      <c r="A107" s="29" t="s">
        <v>711</v>
      </c>
      <c r="B107" s="27">
        <f t="shared" si="6"/>
        <v>26544599410</v>
      </c>
      <c r="D107" s="27">
        <f t="shared" si="7"/>
        <v>18787022629</v>
      </c>
      <c r="F107" s="42">
        <f t="shared" si="8"/>
        <v>0.70799999999999996</v>
      </c>
      <c r="H107" s="27">
        <f t="shared" si="9"/>
        <v>12228899153</v>
      </c>
      <c r="J107" s="27">
        <f t="shared" si="10"/>
        <v>8015324610</v>
      </c>
      <c r="L107" s="44">
        <f t="shared" si="11"/>
        <v>0.65500000000000003</v>
      </c>
    </row>
    <row r="108" spans="1:12" x14ac:dyDescent="0.2">
      <c r="A108" s="29" t="s">
        <v>712</v>
      </c>
      <c r="B108" s="27">
        <f t="shared" si="6"/>
        <v>26421246625</v>
      </c>
      <c r="D108" s="27">
        <f t="shared" si="7"/>
        <v>18947322412</v>
      </c>
      <c r="F108" s="42">
        <f t="shared" si="8"/>
        <v>0.71699999999999997</v>
      </c>
      <c r="H108" s="27">
        <f t="shared" si="9"/>
        <v>12137635079</v>
      </c>
      <c r="J108" s="27">
        <f t="shared" si="10"/>
        <v>7961181129</v>
      </c>
      <c r="L108" s="44">
        <f t="shared" si="11"/>
        <v>0.65600000000000003</v>
      </c>
    </row>
    <row r="109" spans="1:12" x14ac:dyDescent="0.2">
      <c r="A109" s="29" t="s">
        <v>713</v>
      </c>
      <c r="B109" s="27">
        <f t="shared" si="6"/>
        <v>26333593926</v>
      </c>
      <c r="D109" s="27">
        <f t="shared" si="7"/>
        <v>19117330920</v>
      </c>
      <c r="F109" s="42">
        <f t="shared" si="8"/>
        <v>0.72599999999999998</v>
      </c>
      <c r="H109" s="27">
        <f t="shared" si="9"/>
        <v>12065131231</v>
      </c>
      <c r="J109" s="27">
        <f t="shared" si="10"/>
        <v>8071009860</v>
      </c>
      <c r="L109" s="44">
        <f t="shared" si="11"/>
        <v>0.66900000000000004</v>
      </c>
    </row>
    <row r="110" spans="1:12" x14ac:dyDescent="0.2">
      <c r="A110" s="29" t="s">
        <v>714</v>
      </c>
      <c r="B110" s="27">
        <f t="shared" si="6"/>
        <v>26267634312</v>
      </c>
      <c r="D110" s="27">
        <f t="shared" si="7"/>
        <v>18888861214</v>
      </c>
      <c r="F110" s="42">
        <f t="shared" si="8"/>
        <v>0.71899999999999997</v>
      </c>
      <c r="H110" s="27">
        <f t="shared" si="9"/>
        <v>12015613726</v>
      </c>
      <c r="J110" s="27">
        <f t="shared" si="10"/>
        <v>8638308972</v>
      </c>
      <c r="L110" s="44">
        <f t="shared" si="11"/>
        <v>0.71899999999999997</v>
      </c>
    </row>
    <row r="111" spans="1:12" x14ac:dyDescent="0.2">
      <c r="A111" s="29" t="s">
        <v>715</v>
      </c>
      <c r="B111" s="27">
        <f t="shared" si="6"/>
        <v>26240842382</v>
      </c>
      <c r="D111" s="27">
        <f t="shared" si="7"/>
        <v>18739895635</v>
      </c>
      <c r="F111" s="42">
        <f t="shared" si="8"/>
        <v>0.71399999999999997</v>
      </c>
      <c r="H111" s="27">
        <f t="shared" si="9"/>
        <v>11983550778</v>
      </c>
      <c r="J111" s="27">
        <f t="shared" si="10"/>
        <v>8918243437</v>
      </c>
      <c r="L111" s="44">
        <f t="shared" si="11"/>
        <v>0.74399999999999999</v>
      </c>
    </row>
    <row r="112" spans="1:12" x14ac:dyDescent="0.2">
      <c r="A112" s="29" t="s">
        <v>716</v>
      </c>
      <c r="B112" s="27">
        <f t="shared" si="6"/>
        <v>26197042375</v>
      </c>
      <c r="D112" s="27">
        <f t="shared" si="7"/>
        <v>18570681740</v>
      </c>
      <c r="F112" s="42">
        <f t="shared" si="8"/>
        <v>0.70899999999999996</v>
      </c>
      <c r="H112" s="27">
        <f t="shared" si="9"/>
        <v>11953151910</v>
      </c>
      <c r="J112" s="27">
        <f t="shared" si="10"/>
        <v>8955611162</v>
      </c>
      <c r="L112" s="44">
        <f t="shared" si="11"/>
        <v>0.749</v>
      </c>
    </row>
    <row r="113" spans="1:12" x14ac:dyDescent="0.2">
      <c r="A113" s="29" t="s">
        <v>717</v>
      </c>
      <c r="B113" s="27">
        <f t="shared" si="6"/>
        <v>26111693178</v>
      </c>
      <c r="D113" s="27">
        <f t="shared" si="7"/>
        <v>18123977053</v>
      </c>
      <c r="F113" s="42">
        <f t="shared" si="8"/>
        <v>0.69399999999999995</v>
      </c>
      <c r="H113" s="27">
        <f t="shared" si="9"/>
        <v>11887446637</v>
      </c>
      <c r="J113" s="27">
        <f t="shared" si="10"/>
        <v>8951272144</v>
      </c>
      <c r="L113" s="44">
        <f t="shared" si="11"/>
        <v>0.753</v>
      </c>
    </row>
    <row r="114" spans="1:12" x14ac:dyDescent="0.2">
      <c r="A114" s="29" t="s">
        <v>718</v>
      </c>
    </row>
    <row r="115" spans="1:12" x14ac:dyDescent="0.2">
      <c r="A115" s="29" t="s">
        <v>719</v>
      </c>
    </row>
    <row r="117" spans="1:12" x14ac:dyDescent="0.2">
      <c r="A117" s="29" t="s">
        <v>747</v>
      </c>
    </row>
    <row r="118" spans="1:12" x14ac:dyDescent="0.2">
      <c r="A118" s="29" t="s">
        <v>86</v>
      </c>
    </row>
  </sheetData>
  <mergeCells count="2">
    <mergeCell ref="A62:B62"/>
    <mergeCell ref="A3:F3"/>
  </mergeCells>
  <phoneticPr fontId="6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9937" r:id="rId4" name="ComboBox1">
          <controlPr defaultSize="0" print="0" autoLine="0" listFillRange="Sheet5!K3:K6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9525</xdr:colOff>
                <xdr:row>1</xdr:row>
                <xdr:rowOff>85725</xdr:rowOff>
              </to>
            </anchor>
          </controlPr>
        </control>
      </mc:Choice>
      <mc:Fallback>
        <control shapeId="39937" r:id="rId4" name="ComboBox1"/>
      </mc:Fallback>
    </mc:AlternateContent>
    <mc:AlternateContent xmlns:mc="http://schemas.openxmlformats.org/markup-compatibility/2006">
      <mc:Choice Requires="x14">
        <control shapeId="39938" r:id="rId6" name="cmdPrintLoss">
          <controlPr defaultSize="0" print="0" autoLine="0" r:id="rId7">
            <anchor moveWithCells="1">
              <from>
                <xdr:col>7</xdr:col>
                <xdr:colOff>19050</xdr:colOff>
                <xdr:row>7</xdr:row>
                <xdr:rowOff>38100</xdr:rowOff>
              </from>
              <to>
                <xdr:col>7</xdr:col>
                <xdr:colOff>733425</xdr:colOff>
                <xdr:row>8</xdr:row>
                <xdr:rowOff>133350</xdr:rowOff>
              </to>
            </anchor>
          </controlPr>
        </control>
      </mc:Choice>
      <mc:Fallback>
        <control shapeId="39938" r:id="rId6" name="cmdPrintLoss"/>
      </mc:Fallback>
    </mc:AlternateContent>
    <mc:AlternateContent xmlns:mc="http://schemas.openxmlformats.org/markup-compatibility/2006">
      <mc:Choice Requires="x14">
        <control shapeId="39940" r:id="rId8" name="Label1">
          <controlPr defaultSize="0" print="0" autoLine="0" r:id="rId9">
            <anchor moveWithCells="1">
              <from>
                <xdr:col>7</xdr:col>
                <xdr:colOff>38100</xdr:colOff>
                <xdr:row>1</xdr:row>
                <xdr:rowOff>9525</xdr:rowOff>
              </from>
              <to>
                <xdr:col>7</xdr:col>
                <xdr:colOff>990600</xdr:colOff>
                <xdr:row>2</xdr:row>
                <xdr:rowOff>9525</xdr:rowOff>
              </to>
            </anchor>
          </controlPr>
        </control>
      </mc:Choice>
      <mc:Fallback>
        <control shapeId="39940" r:id="rId8" name="Label1"/>
      </mc:Fallback>
    </mc:AlternateContent>
    <mc:AlternateContent xmlns:mc="http://schemas.openxmlformats.org/markup-compatibility/2006">
      <mc:Choice Requires="x14">
        <control shapeId="39941" r:id="rId10" name="ListBox1">
          <controlPr defaultSize="0" print="0" autoLine="0" listFillRange="Sheet5!S37:S41" r:id="rId11">
            <anchor moveWithCells="1">
              <from>
                <xdr:col>7</xdr:col>
                <xdr:colOff>19050</xdr:colOff>
                <xdr:row>2</xdr:row>
                <xdr:rowOff>9525</xdr:rowOff>
              </from>
              <to>
                <xdr:col>11</xdr:col>
                <xdr:colOff>600075</xdr:colOff>
                <xdr:row>7</xdr:row>
                <xdr:rowOff>9525</xdr:rowOff>
              </to>
            </anchor>
          </controlPr>
        </control>
      </mc:Choice>
      <mc:Fallback>
        <control shapeId="39941" r:id="rId10" name="List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B76A-EB29-44CA-BB48-2BE3BE320816}">
  <sheetPr codeName="Sheet4"/>
  <dimension ref="A1:AD5"/>
  <sheetViews>
    <sheetView workbookViewId="0"/>
  </sheetViews>
  <sheetFormatPr defaultRowHeight="12.75" x14ac:dyDescent="0.2"/>
  <cols>
    <col min="1" max="1" width="1.5703125" customWidth="1"/>
    <col min="2" max="5" width="13.7109375" customWidth="1"/>
    <col min="6" max="6" width="2" customWidth="1"/>
    <col min="7" max="10" width="13.7109375" customWidth="1"/>
    <col min="11" max="11" width="2.140625" customWidth="1"/>
    <col min="12" max="15" width="13.7109375" customWidth="1"/>
    <col min="16" max="16" width="2.140625" customWidth="1"/>
    <col min="17" max="20" width="13.7109375" customWidth="1"/>
    <col min="21" max="21" width="2.28515625" customWidth="1"/>
    <col min="22" max="25" width="13.7109375" customWidth="1"/>
    <col min="26" max="26" width="2.140625" customWidth="1"/>
    <col min="27" max="30" width="13.7109375" customWidth="1"/>
  </cols>
  <sheetData>
    <row r="1" spans="1:30" ht="14.25" x14ac:dyDescent="0.2">
      <c r="A1" t="s">
        <v>88</v>
      </c>
      <c r="B1" s="36"/>
      <c r="C1" s="35"/>
      <c r="D1" s="67" t="s">
        <v>44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30" x14ac:dyDescent="0.2">
      <c r="D2" s="74" t="s">
        <v>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30" x14ac:dyDescent="0.2">
      <c r="B3" s="67" t="str">
        <f>State</f>
        <v>Multi-state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35"/>
      <c r="V3" s="35"/>
    </row>
    <row r="4" spans="1:30" x14ac:dyDescent="0.2">
      <c r="J4" s="57" t="s">
        <v>87</v>
      </c>
    </row>
    <row r="5" spans="1:30" x14ac:dyDescent="0.2">
      <c r="B5" s="65" t="s">
        <v>2</v>
      </c>
      <c r="C5" s="65"/>
      <c r="D5" s="65"/>
      <c r="E5" s="65"/>
      <c r="G5" s="65" t="s">
        <v>3</v>
      </c>
      <c r="H5" s="65"/>
      <c r="I5" s="65"/>
      <c r="J5" s="65"/>
      <c r="L5" s="65" t="s">
        <v>4</v>
      </c>
      <c r="M5" s="65"/>
      <c r="N5" s="65"/>
      <c r="O5" s="65"/>
      <c r="Q5" s="65" t="s">
        <v>5</v>
      </c>
      <c r="R5" s="65"/>
      <c r="S5" s="65"/>
      <c r="T5" s="65"/>
      <c r="V5" s="65" t="str">
        <f>IF(PIP="","",PIP)</f>
        <v>PIP</v>
      </c>
      <c r="W5" s="65"/>
      <c r="X5" s="65"/>
      <c r="Y5" s="65"/>
      <c r="AA5" s="73" t="str">
        <f>_PPI1</f>
        <v/>
      </c>
      <c r="AB5" s="65"/>
      <c r="AC5" s="65"/>
      <c r="AD5" s="65"/>
    </row>
  </sheetData>
  <mergeCells count="9">
    <mergeCell ref="AA5:AD5"/>
    <mergeCell ref="V5:Y5"/>
    <mergeCell ref="D1:R1"/>
    <mergeCell ref="D2:R2"/>
    <mergeCell ref="B5:E5"/>
    <mergeCell ref="G5:J5"/>
    <mergeCell ref="L5:O5"/>
    <mergeCell ref="Q5:T5"/>
    <mergeCell ref="B3:T3"/>
  </mergeCells>
  <phoneticPr fontId="6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72" r:id="rId3" name="ComboBox1">
          <controlPr defaultSize="0" print="0" autoLine="0" listFillRange="Sheet5!K3:K6" r:id="rId4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285750</xdr:colOff>
                <xdr:row>1</xdr:row>
                <xdr:rowOff>76200</xdr:rowOff>
              </to>
            </anchor>
          </controlPr>
        </control>
      </mc:Choice>
      <mc:Fallback>
        <control shapeId="2072" r:id="rId3" name="ComboBox1"/>
      </mc:Fallback>
    </mc:AlternateContent>
    <mc:AlternateContent xmlns:mc="http://schemas.openxmlformats.org/markup-compatibility/2006">
      <mc:Choice Requires="x14">
        <control shapeId="2073" r:id="rId5" name="ListBox1">
          <controlPr locked="0" defaultSize="0" print="0" autoLine="0" listFillRange="Sheet5!S43:S61" r:id="rId6">
            <anchor moveWithCells="1">
              <from>
                <xdr:col>30</xdr:col>
                <xdr:colOff>257175</xdr:colOff>
                <xdr:row>1</xdr:row>
                <xdr:rowOff>104775</xdr:rowOff>
              </from>
              <to>
                <xdr:col>35</xdr:col>
                <xdr:colOff>228600</xdr:colOff>
                <xdr:row>17</xdr:row>
                <xdr:rowOff>142875</xdr:rowOff>
              </to>
            </anchor>
          </controlPr>
        </control>
      </mc:Choice>
      <mc:Fallback>
        <control shapeId="2073" r:id="rId5" name="ListBox1"/>
      </mc:Fallback>
    </mc:AlternateContent>
    <mc:AlternateContent xmlns:mc="http://schemas.openxmlformats.org/markup-compatibility/2006">
      <mc:Choice Requires="x14">
        <control shapeId="2074" r:id="rId7" name="cmdPrint">
          <controlPr defaultSize="0" print="0" autoLine="0" r:id="rId8">
            <anchor moveWithCells="1">
              <from>
                <xdr:col>30</xdr:col>
                <xdr:colOff>257175</xdr:colOff>
                <xdr:row>17</xdr:row>
                <xdr:rowOff>142875</xdr:rowOff>
              </from>
              <to>
                <xdr:col>32</xdr:col>
                <xdr:colOff>152400</xdr:colOff>
                <xdr:row>19</xdr:row>
                <xdr:rowOff>57150</xdr:rowOff>
              </to>
            </anchor>
          </controlPr>
        </control>
      </mc:Choice>
      <mc:Fallback>
        <control shapeId="2074" r:id="rId7" name="cmdPrint"/>
      </mc:Fallback>
    </mc:AlternateContent>
    <mc:AlternateContent xmlns:mc="http://schemas.openxmlformats.org/markup-compatibility/2006">
      <mc:Choice Requires="x14">
        <control shapeId="2075" r:id="rId9" name="Label1">
          <controlPr defaultSize="0" print="0" autoLine="0" r:id="rId10">
            <anchor moveWithCells="1">
              <from>
                <xdr:col>30</xdr:col>
                <xdr:colOff>257175</xdr:colOff>
                <xdr:row>0</xdr:row>
                <xdr:rowOff>95250</xdr:rowOff>
              </from>
              <to>
                <xdr:col>32</xdr:col>
                <xdr:colOff>152400</xdr:colOff>
                <xdr:row>1</xdr:row>
                <xdr:rowOff>95250</xdr:rowOff>
              </to>
            </anchor>
          </controlPr>
        </control>
      </mc:Choice>
      <mc:Fallback>
        <control shapeId="2075" r:id="rId9" name="Label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242E-7F36-45AA-A40E-3CC18DC01F16}">
  <sheetPr codeName="Sheet6"/>
  <dimension ref="A1:I509"/>
  <sheetViews>
    <sheetView workbookViewId="0">
      <selection activeCell="H25" sqref="H25"/>
    </sheetView>
  </sheetViews>
  <sheetFormatPr defaultRowHeight="12.75" x14ac:dyDescent="0.2"/>
  <sheetData>
    <row r="1" spans="1:7" x14ac:dyDescent="0.2">
      <c r="A1" t="s">
        <v>688</v>
      </c>
    </row>
    <row r="2" spans="1:7" x14ac:dyDescent="0.2">
      <c r="A2" t="s">
        <v>689</v>
      </c>
      <c r="B2" t="s">
        <v>690</v>
      </c>
      <c r="C2" t="s">
        <v>691</v>
      </c>
      <c r="D2" t="s">
        <v>6</v>
      </c>
      <c r="E2" t="s">
        <v>12</v>
      </c>
      <c r="F2" t="s">
        <v>623</v>
      </c>
      <c r="G2" t="s">
        <v>624</v>
      </c>
    </row>
    <row r="3" spans="1:7" x14ac:dyDescent="0.2">
      <c r="A3">
        <v>2</v>
      </c>
      <c r="B3">
        <v>1</v>
      </c>
      <c r="C3">
        <v>8</v>
      </c>
      <c r="D3">
        <v>2004</v>
      </c>
      <c r="E3">
        <v>1</v>
      </c>
      <c r="F3">
        <v>268580042</v>
      </c>
      <c r="G3">
        <v>207141354</v>
      </c>
    </row>
    <row r="4" spans="1:7" x14ac:dyDescent="0.2">
      <c r="A4">
        <v>2</v>
      </c>
      <c r="B4">
        <v>1</v>
      </c>
      <c r="C4">
        <v>8</v>
      </c>
      <c r="D4">
        <v>2004</v>
      </c>
      <c r="E4">
        <v>2</v>
      </c>
      <c r="F4">
        <v>271203711</v>
      </c>
      <c r="G4">
        <v>195179592</v>
      </c>
    </row>
    <row r="5" spans="1:7" x14ac:dyDescent="0.2">
      <c r="A5">
        <v>2</v>
      </c>
      <c r="B5">
        <v>1</v>
      </c>
      <c r="C5">
        <v>8</v>
      </c>
      <c r="D5">
        <v>2004</v>
      </c>
      <c r="E5">
        <v>3</v>
      </c>
      <c r="F5">
        <v>274236086</v>
      </c>
      <c r="G5">
        <v>194132635</v>
      </c>
    </row>
    <row r="6" spans="1:7" x14ac:dyDescent="0.2">
      <c r="A6">
        <v>2</v>
      </c>
      <c r="B6">
        <v>1</v>
      </c>
      <c r="C6">
        <v>8</v>
      </c>
      <c r="D6">
        <v>2004</v>
      </c>
      <c r="E6">
        <v>4</v>
      </c>
      <c r="F6">
        <v>276100268</v>
      </c>
      <c r="G6">
        <v>214254489</v>
      </c>
    </row>
    <row r="7" spans="1:7" x14ac:dyDescent="0.2">
      <c r="A7">
        <v>2</v>
      </c>
      <c r="B7">
        <v>1</v>
      </c>
      <c r="C7">
        <v>8</v>
      </c>
      <c r="D7">
        <v>2005</v>
      </c>
      <c r="E7">
        <v>1</v>
      </c>
      <c r="F7">
        <v>277048318</v>
      </c>
      <c r="G7">
        <v>219133415</v>
      </c>
    </row>
    <row r="8" spans="1:7" x14ac:dyDescent="0.2">
      <c r="A8">
        <v>2</v>
      </c>
      <c r="B8">
        <v>1</v>
      </c>
      <c r="C8">
        <v>8</v>
      </c>
      <c r="D8">
        <v>2005</v>
      </c>
      <c r="E8">
        <v>2</v>
      </c>
      <c r="F8">
        <v>280872237</v>
      </c>
      <c r="G8">
        <v>200739705</v>
      </c>
    </row>
    <row r="9" spans="1:7" x14ac:dyDescent="0.2">
      <c r="A9">
        <v>2</v>
      </c>
      <c r="B9">
        <v>1</v>
      </c>
      <c r="C9">
        <v>8</v>
      </c>
      <c r="D9">
        <v>2005</v>
      </c>
      <c r="E9">
        <v>3</v>
      </c>
      <c r="F9">
        <v>286334175</v>
      </c>
      <c r="G9">
        <v>218956068</v>
      </c>
    </row>
    <row r="10" spans="1:7" x14ac:dyDescent="0.2">
      <c r="A10">
        <v>2</v>
      </c>
      <c r="B10">
        <v>1</v>
      </c>
      <c r="C10">
        <v>8</v>
      </c>
      <c r="D10">
        <v>2005</v>
      </c>
      <c r="E10">
        <v>4</v>
      </c>
      <c r="F10">
        <v>295811996</v>
      </c>
      <c r="G10">
        <v>226494842</v>
      </c>
    </row>
    <row r="11" spans="1:7" x14ac:dyDescent="0.2">
      <c r="A11">
        <v>2</v>
      </c>
      <c r="B11">
        <v>1</v>
      </c>
      <c r="C11">
        <v>8</v>
      </c>
      <c r="D11">
        <v>2006</v>
      </c>
      <c r="E11">
        <v>1</v>
      </c>
      <c r="F11">
        <v>297368464</v>
      </c>
      <c r="G11">
        <v>229309817</v>
      </c>
    </row>
    <row r="12" spans="1:7" x14ac:dyDescent="0.2">
      <c r="A12">
        <v>2</v>
      </c>
      <c r="B12">
        <v>1</v>
      </c>
      <c r="C12">
        <v>8</v>
      </c>
      <c r="D12">
        <v>2006</v>
      </c>
      <c r="E12">
        <v>2</v>
      </c>
      <c r="F12">
        <v>299771818</v>
      </c>
      <c r="G12">
        <v>224572250</v>
      </c>
    </row>
    <row r="13" spans="1:7" x14ac:dyDescent="0.2">
      <c r="A13">
        <v>2</v>
      </c>
      <c r="B13">
        <v>1</v>
      </c>
      <c r="C13">
        <v>8</v>
      </c>
      <c r="D13">
        <v>2006</v>
      </c>
      <c r="E13">
        <v>3</v>
      </c>
      <c r="F13">
        <v>299930496</v>
      </c>
      <c r="G13">
        <v>211023521</v>
      </c>
    </row>
    <row r="14" spans="1:7" x14ac:dyDescent="0.2">
      <c r="A14">
        <v>2</v>
      </c>
      <c r="B14">
        <v>1</v>
      </c>
      <c r="C14">
        <v>8</v>
      </c>
      <c r="D14">
        <v>2006</v>
      </c>
      <c r="E14">
        <v>4</v>
      </c>
      <c r="F14">
        <v>300291669</v>
      </c>
      <c r="G14">
        <v>239308092</v>
      </c>
    </row>
    <row r="15" spans="1:7" x14ac:dyDescent="0.2">
      <c r="A15">
        <v>2</v>
      </c>
      <c r="B15">
        <v>1</v>
      </c>
      <c r="C15">
        <v>8</v>
      </c>
      <c r="D15">
        <v>2007</v>
      </c>
      <c r="E15">
        <v>1</v>
      </c>
      <c r="F15">
        <v>297621665</v>
      </c>
      <c r="G15">
        <v>222909932</v>
      </c>
    </row>
    <row r="16" spans="1:7" x14ac:dyDescent="0.2">
      <c r="A16">
        <v>2</v>
      </c>
      <c r="B16">
        <v>1</v>
      </c>
      <c r="C16">
        <v>8</v>
      </c>
      <c r="D16">
        <v>2007</v>
      </c>
      <c r="E16">
        <v>2</v>
      </c>
      <c r="F16">
        <v>297798213</v>
      </c>
      <c r="G16">
        <v>228850488</v>
      </c>
    </row>
    <row r="17" spans="1:7" x14ac:dyDescent="0.2">
      <c r="A17">
        <v>2</v>
      </c>
      <c r="B17">
        <v>1</v>
      </c>
      <c r="C17">
        <v>8</v>
      </c>
      <c r="D17">
        <v>2007</v>
      </c>
      <c r="E17">
        <v>3</v>
      </c>
      <c r="F17">
        <v>297376039</v>
      </c>
      <c r="G17">
        <v>226418697</v>
      </c>
    </row>
    <row r="18" spans="1:7" x14ac:dyDescent="0.2">
      <c r="A18">
        <v>2</v>
      </c>
      <c r="B18">
        <v>1</v>
      </c>
      <c r="C18">
        <v>8</v>
      </c>
      <c r="D18">
        <v>2007</v>
      </c>
      <c r="E18">
        <v>4</v>
      </c>
      <c r="F18">
        <v>296064793</v>
      </c>
      <c r="G18">
        <v>241520824</v>
      </c>
    </row>
    <row r="19" spans="1:7" x14ac:dyDescent="0.2">
      <c r="A19">
        <v>2</v>
      </c>
      <c r="B19">
        <v>1</v>
      </c>
      <c r="C19">
        <v>8</v>
      </c>
      <c r="D19">
        <v>2008</v>
      </c>
      <c r="E19">
        <v>1</v>
      </c>
      <c r="F19">
        <v>294255498</v>
      </c>
      <c r="G19">
        <v>226785326</v>
      </c>
    </row>
    <row r="20" spans="1:7" x14ac:dyDescent="0.2">
      <c r="A20">
        <v>2</v>
      </c>
      <c r="B20">
        <v>1</v>
      </c>
      <c r="C20">
        <v>8</v>
      </c>
      <c r="D20">
        <v>2008</v>
      </c>
      <c r="E20">
        <v>2</v>
      </c>
      <c r="F20">
        <v>292996780</v>
      </c>
      <c r="G20">
        <v>225233614</v>
      </c>
    </row>
    <row r="21" spans="1:7" x14ac:dyDescent="0.2">
      <c r="A21">
        <v>2</v>
      </c>
      <c r="B21">
        <v>1</v>
      </c>
      <c r="C21">
        <v>8</v>
      </c>
      <c r="D21">
        <v>2008</v>
      </c>
      <c r="E21">
        <v>3</v>
      </c>
      <c r="F21">
        <v>291296584</v>
      </c>
      <c r="G21">
        <v>229527913</v>
      </c>
    </row>
    <row r="22" spans="1:7" x14ac:dyDescent="0.2">
      <c r="A22">
        <v>2</v>
      </c>
      <c r="B22">
        <v>1</v>
      </c>
      <c r="C22">
        <v>8</v>
      </c>
      <c r="D22">
        <v>2008</v>
      </c>
      <c r="E22">
        <v>4</v>
      </c>
      <c r="F22">
        <v>291050946</v>
      </c>
      <c r="G22">
        <v>214656316</v>
      </c>
    </row>
    <row r="23" spans="1:7" x14ac:dyDescent="0.2">
      <c r="A23">
        <v>2</v>
      </c>
      <c r="B23">
        <v>1</v>
      </c>
      <c r="C23">
        <v>8</v>
      </c>
      <c r="D23">
        <v>2009</v>
      </c>
      <c r="E23">
        <v>1</v>
      </c>
      <c r="F23">
        <v>289732204</v>
      </c>
      <c r="G23">
        <v>200782554</v>
      </c>
    </row>
    <row r="24" spans="1:7" x14ac:dyDescent="0.2">
      <c r="A24">
        <v>4</v>
      </c>
      <c r="B24">
        <v>1</v>
      </c>
      <c r="C24">
        <v>8</v>
      </c>
      <c r="D24">
        <v>2004</v>
      </c>
      <c r="E24">
        <v>1</v>
      </c>
      <c r="F24">
        <v>1451345258</v>
      </c>
      <c r="G24">
        <v>993735762</v>
      </c>
    </row>
    <row r="25" spans="1:7" x14ac:dyDescent="0.2">
      <c r="A25">
        <v>4</v>
      </c>
      <c r="B25">
        <v>1</v>
      </c>
      <c r="C25">
        <v>8</v>
      </c>
      <c r="D25">
        <v>2004</v>
      </c>
      <c r="E25">
        <v>2</v>
      </c>
      <c r="F25">
        <v>1458848027</v>
      </c>
      <c r="G25">
        <v>959366115</v>
      </c>
    </row>
    <row r="26" spans="1:7" x14ac:dyDescent="0.2">
      <c r="A26">
        <v>4</v>
      </c>
      <c r="B26">
        <v>1</v>
      </c>
      <c r="C26">
        <v>8</v>
      </c>
      <c r="D26">
        <v>2004</v>
      </c>
      <c r="E26">
        <v>3</v>
      </c>
      <c r="F26">
        <v>1476310568</v>
      </c>
      <c r="G26">
        <v>951494777</v>
      </c>
    </row>
    <row r="27" spans="1:7" x14ac:dyDescent="0.2">
      <c r="A27">
        <v>4</v>
      </c>
      <c r="B27">
        <v>1</v>
      </c>
      <c r="C27">
        <v>8</v>
      </c>
      <c r="D27">
        <v>2004</v>
      </c>
      <c r="E27">
        <v>4</v>
      </c>
      <c r="F27">
        <v>1399513630</v>
      </c>
      <c r="G27">
        <v>987262576</v>
      </c>
    </row>
    <row r="28" spans="1:7" x14ac:dyDescent="0.2">
      <c r="A28">
        <v>4</v>
      </c>
      <c r="B28">
        <v>1</v>
      </c>
      <c r="C28">
        <v>8</v>
      </c>
      <c r="D28">
        <v>2005</v>
      </c>
      <c r="E28">
        <v>1</v>
      </c>
      <c r="F28">
        <v>1454224800</v>
      </c>
      <c r="G28">
        <v>968831888</v>
      </c>
    </row>
    <row r="29" spans="1:7" x14ac:dyDescent="0.2">
      <c r="A29">
        <v>4</v>
      </c>
      <c r="B29">
        <v>1</v>
      </c>
      <c r="C29">
        <v>8</v>
      </c>
      <c r="D29">
        <v>2005</v>
      </c>
      <c r="E29">
        <v>2</v>
      </c>
      <c r="F29">
        <v>1473189165</v>
      </c>
      <c r="G29">
        <v>920373524</v>
      </c>
    </row>
    <row r="30" spans="1:7" x14ac:dyDescent="0.2">
      <c r="A30">
        <v>4</v>
      </c>
      <c r="B30">
        <v>1</v>
      </c>
      <c r="C30">
        <v>8</v>
      </c>
      <c r="D30">
        <v>2005</v>
      </c>
      <c r="E30">
        <v>3</v>
      </c>
      <c r="F30">
        <v>1493734974</v>
      </c>
      <c r="G30">
        <v>998309286</v>
      </c>
    </row>
    <row r="31" spans="1:7" x14ac:dyDescent="0.2">
      <c r="A31">
        <v>4</v>
      </c>
      <c r="B31">
        <v>1</v>
      </c>
      <c r="C31">
        <v>8</v>
      </c>
      <c r="D31">
        <v>2005</v>
      </c>
      <c r="E31">
        <v>4</v>
      </c>
      <c r="F31">
        <v>1491548065</v>
      </c>
      <c r="G31">
        <v>892233601</v>
      </c>
    </row>
    <row r="32" spans="1:7" x14ac:dyDescent="0.2">
      <c r="A32">
        <v>4</v>
      </c>
      <c r="B32">
        <v>1</v>
      </c>
      <c r="C32">
        <v>8</v>
      </c>
      <c r="D32">
        <v>2006</v>
      </c>
      <c r="E32">
        <v>1</v>
      </c>
      <c r="F32">
        <v>1484095983</v>
      </c>
      <c r="G32">
        <v>953577752</v>
      </c>
    </row>
    <row r="33" spans="1:7" x14ac:dyDescent="0.2">
      <c r="A33">
        <v>4</v>
      </c>
      <c r="B33">
        <v>1</v>
      </c>
      <c r="C33">
        <v>8</v>
      </c>
      <c r="D33">
        <v>2006</v>
      </c>
      <c r="E33">
        <v>2</v>
      </c>
      <c r="F33">
        <v>1501293849</v>
      </c>
      <c r="G33">
        <v>1001599493</v>
      </c>
    </row>
    <row r="34" spans="1:7" x14ac:dyDescent="0.2">
      <c r="A34">
        <v>4</v>
      </c>
      <c r="B34">
        <v>1</v>
      </c>
      <c r="C34">
        <v>8</v>
      </c>
      <c r="D34">
        <v>2006</v>
      </c>
      <c r="E34">
        <v>3</v>
      </c>
      <c r="F34">
        <v>1511989439</v>
      </c>
      <c r="G34">
        <v>1029967236</v>
      </c>
    </row>
    <row r="35" spans="1:7" x14ac:dyDescent="0.2">
      <c r="A35">
        <v>4</v>
      </c>
      <c r="B35">
        <v>1</v>
      </c>
      <c r="C35">
        <v>8</v>
      </c>
      <c r="D35">
        <v>2006</v>
      </c>
      <c r="E35">
        <v>4</v>
      </c>
      <c r="F35">
        <v>1529433508</v>
      </c>
      <c r="G35">
        <v>1073010600</v>
      </c>
    </row>
    <row r="36" spans="1:7" x14ac:dyDescent="0.2">
      <c r="A36">
        <v>4</v>
      </c>
      <c r="B36">
        <v>1</v>
      </c>
      <c r="C36">
        <v>8</v>
      </c>
      <c r="D36">
        <v>2007</v>
      </c>
      <c r="E36">
        <v>1</v>
      </c>
      <c r="F36">
        <v>1500912121</v>
      </c>
      <c r="G36">
        <v>1009562345</v>
      </c>
    </row>
    <row r="37" spans="1:7" x14ac:dyDescent="0.2">
      <c r="A37">
        <v>4</v>
      </c>
      <c r="B37">
        <v>1</v>
      </c>
      <c r="C37">
        <v>8</v>
      </c>
      <c r="D37">
        <v>2007</v>
      </c>
      <c r="E37">
        <v>2</v>
      </c>
      <c r="F37">
        <v>1517676077</v>
      </c>
      <c r="G37">
        <v>1036862914</v>
      </c>
    </row>
    <row r="38" spans="1:7" x14ac:dyDescent="0.2">
      <c r="A38">
        <v>4</v>
      </c>
      <c r="B38">
        <v>1</v>
      </c>
      <c r="C38">
        <v>8</v>
      </c>
      <c r="D38">
        <v>2007</v>
      </c>
      <c r="E38">
        <v>3</v>
      </c>
      <c r="F38">
        <v>1515372833</v>
      </c>
      <c r="G38">
        <v>1076405035</v>
      </c>
    </row>
    <row r="39" spans="1:7" x14ac:dyDescent="0.2">
      <c r="A39">
        <v>4</v>
      </c>
      <c r="B39">
        <v>1</v>
      </c>
      <c r="C39">
        <v>8</v>
      </c>
      <c r="D39">
        <v>2007</v>
      </c>
      <c r="E39">
        <v>4</v>
      </c>
      <c r="F39">
        <v>1526701661</v>
      </c>
      <c r="G39">
        <v>1049148297</v>
      </c>
    </row>
    <row r="40" spans="1:7" x14ac:dyDescent="0.2">
      <c r="A40">
        <v>4</v>
      </c>
      <c r="B40">
        <v>1</v>
      </c>
      <c r="C40">
        <v>8</v>
      </c>
      <c r="D40">
        <v>2008</v>
      </c>
      <c r="E40">
        <v>1</v>
      </c>
      <c r="F40">
        <v>1502920767</v>
      </c>
      <c r="G40">
        <v>1023169540</v>
      </c>
    </row>
    <row r="41" spans="1:7" x14ac:dyDescent="0.2">
      <c r="A41">
        <v>4</v>
      </c>
      <c r="B41">
        <v>1</v>
      </c>
      <c r="C41">
        <v>8</v>
      </c>
      <c r="D41">
        <v>2008</v>
      </c>
      <c r="E41">
        <v>2</v>
      </c>
      <c r="F41">
        <v>1503848654</v>
      </c>
      <c r="G41">
        <v>1062051235</v>
      </c>
    </row>
    <row r="42" spans="1:7" x14ac:dyDescent="0.2">
      <c r="A42">
        <v>4</v>
      </c>
      <c r="B42">
        <v>1</v>
      </c>
      <c r="C42">
        <v>8</v>
      </c>
      <c r="D42">
        <v>2008</v>
      </c>
      <c r="E42">
        <v>3</v>
      </c>
      <c r="F42">
        <v>1510617124</v>
      </c>
      <c r="G42">
        <v>978081014</v>
      </c>
    </row>
    <row r="43" spans="1:7" x14ac:dyDescent="0.2">
      <c r="A43">
        <v>4</v>
      </c>
      <c r="B43">
        <v>1</v>
      </c>
      <c r="C43">
        <v>8</v>
      </c>
      <c r="D43">
        <v>2008</v>
      </c>
      <c r="E43">
        <v>4</v>
      </c>
      <c r="F43">
        <v>1508575316</v>
      </c>
      <c r="G43">
        <v>975324977</v>
      </c>
    </row>
    <row r="44" spans="1:7" x14ac:dyDescent="0.2">
      <c r="A44">
        <v>4</v>
      </c>
      <c r="B44">
        <v>1</v>
      </c>
      <c r="C44">
        <v>8</v>
      </c>
      <c r="D44">
        <v>2009</v>
      </c>
      <c r="E44">
        <v>1</v>
      </c>
      <c r="F44">
        <v>1496086783</v>
      </c>
      <c r="G44">
        <v>1025950188</v>
      </c>
    </row>
    <row r="45" spans="1:7" x14ac:dyDescent="0.2">
      <c r="A45">
        <v>90</v>
      </c>
      <c r="B45">
        <v>1</v>
      </c>
      <c r="C45">
        <v>8</v>
      </c>
      <c r="D45">
        <v>2004</v>
      </c>
      <c r="E45">
        <v>1</v>
      </c>
      <c r="F45">
        <v>13239909574</v>
      </c>
      <c r="G45">
        <v>10568489263</v>
      </c>
    </row>
    <row r="46" spans="1:7" x14ac:dyDescent="0.2">
      <c r="A46">
        <v>90</v>
      </c>
      <c r="B46">
        <v>1</v>
      </c>
      <c r="C46">
        <v>8</v>
      </c>
      <c r="D46">
        <v>2004</v>
      </c>
      <c r="E46">
        <v>2</v>
      </c>
      <c r="F46">
        <v>13537503499</v>
      </c>
      <c r="G46">
        <v>10497305835</v>
      </c>
    </row>
    <row r="47" spans="1:7" x14ac:dyDescent="0.2">
      <c r="A47">
        <v>90</v>
      </c>
      <c r="B47">
        <v>1</v>
      </c>
      <c r="C47">
        <v>8</v>
      </c>
      <c r="D47">
        <v>2004</v>
      </c>
      <c r="E47">
        <v>3</v>
      </c>
      <c r="F47">
        <v>13690535664</v>
      </c>
      <c r="G47">
        <v>10058937962</v>
      </c>
    </row>
    <row r="48" spans="1:7" x14ac:dyDescent="0.2">
      <c r="A48">
        <v>90</v>
      </c>
      <c r="B48">
        <v>1</v>
      </c>
      <c r="C48">
        <v>8</v>
      </c>
      <c r="D48">
        <v>2004</v>
      </c>
      <c r="E48">
        <v>4</v>
      </c>
      <c r="F48">
        <v>13638119672</v>
      </c>
      <c r="G48">
        <v>10831689054</v>
      </c>
    </row>
    <row r="49" spans="1:7" x14ac:dyDescent="0.2">
      <c r="A49">
        <v>90</v>
      </c>
      <c r="B49">
        <v>1</v>
      </c>
      <c r="C49">
        <v>8</v>
      </c>
      <c r="D49">
        <v>2005</v>
      </c>
      <c r="E49">
        <v>1</v>
      </c>
      <c r="F49">
        <v>13665410475</v>
      </c>
      <c r="G49">
        <v>10696298517</v>
      </c>
    </row>
    <row r="50" spans="1:7" x14ac:dyDescent="0.2">
      <c r="A50">
        <v>90</v>
      </c>
      <c r="B50">
        <v>1</v>
      </c>
      <c r="C50">
        <v>8</v>
      </c>
      <c r="D50">
        <v>2005</v>
      </c>
      <c r="E50">
        <v>2</v>
      </c>
      <c r="F50">
        <v>13805401806</v>
      </c>
      <c r="G50">
        <v>10535941306</v>
      </c>
    </row>
    <row r="51" spans="1:7" x14ac:dyDescent="0.2">
      <c r="A51">
        <v>90</v>
      </c>
      <c r="B51">
        <v>1</v>
      </c>
      <c r="C51">
        <v>8</v>
      </c>
      <c r="D51">
        <v>2005</v>
      </c>
      <c r="E51">
        <v>3</v>
      </c>
      <c r="F51">
        <v>13887797688</v>
      </c>
      <c r="G51">
        <v>10497665525</v>
      </c>
    </row>
    <row r="52" spans="1:7" x14ac:dyDescent="0.2">
      <c r="A52">
        <v>90</v>
      </c>
      <c r="B52">
        <v>1</v>
      </c>
      <c r="C52">
        <v>8</v>
      </c>
      <c r="D52">
        <v>2005</v>
      </c>
      <c r="E52">
        <v>4</v>
      </c>
      <c r="F52">
        <v>13981189787</v>
      </c>
      <c r="G52">
        <v>10859558504</v>
      </c>
    </row>
    <row r="53" spans="1:7" x14ac:dyDescent="0.2">
      <c r="A53">
        <v>90</v>
      </c>
      <c r="B53">
        <v>1</v>
      </c>
      <c r="C53">
        <v>8</v>
      </c>
      <c r="D53">
        <v>2006</v>
      </c>
      <c r="E53">
        <v>1</v>
      </c>
      <c r="F53">
        <v>13904831634</v>
      </c>
      <c r="G53">
        <v>10206595654</v>
      </c>
    </row>
    <row r="54" spans="1:7" x14ac:dyDescent="0.2">
      <c r="A54">
        <v>90</v>
      </c>
      <c r="B54">
        <v>1</v>
      </c>
      <c r="C54">
        <v>8</v>
      </c>
      <c r="D54">
        <v>2006</v>
      </c>
      <c r="E54">
        <v>2</v>
      </c>
      <c r="F54">
        <v>14046140072</v>
      </c>
      <c r="G54">
        <v>10160189499</v>
      </c>
    </row>
    <row r="55" spans="1:7" x14ac:dyDescent="0.2">
      <c r="A55">
        <v>90</v>
      </c>
      <c r="B55">
        <v>1</v>
      </c>
      <c r="C55">
        <v>8</v>
      </c>
      <c r="D55">
        <v>2006</v>
      </c>
      <c r="E55">
        <v>3</v>
      </c>
      <c r="F55">
        <v>14102019545</v>
      </c>
      <c r="G55">
        <v>10253420848</v>
      </c>
    </row>
    <row r="56" spans="1:7" x14ac:dyDescent="0.2">
      <c r="A56">
        <v>90</v>
      </c>
      <c r="B56">
        <v>1</v>
      </c>
      <c r="C56">
        <v>8</v>
      </c>
      <c r="D56">
        <v>2006</v>
      </c>
      <c r="E56">
        <v>4</v>
      </c>
      <c r="F56">
        <v>14101577328</v>
      </c>
      <c r="G56">
        <v>11013797131</v>
      </c>
    </row>
    <row r="57" spans="1:7" x14ac:dyDescent="0.2">
      <c r="A57">
        <v>90</v>
      </c>
      <c r="B57">
        <v>1</v>
      </c>
      <c r="C57">
        <v>8</v>
      </c>
      <c r="D57">
        <v>2007</v>
      </c>
      <c r="E57">
        <v>1</v>
      </c>
      <c r="F57">
        <v>13919562346</v>
      </c>
      <c r="G57">
        <v>10638465836</v>
      </c>
    </row>
    <row r="58" spans="1:7" x14ac:dyDescent="0.2">
      <c r="A58">
        <v>90</v>
      </c>
      <c r="B58">
        <v>1</v>
      </c>
      <c r="C58">
        <v>8</v>
      </c>
      <c r="D58">
        <v>2007</v>
      </c>
      <c r="E58">
        <v>2</v>
      </c>
      <c r="F58">
        <v>13972498738</v>
      </c>
      <c r="G58">
        <v>10853499292</v>
      </c>
    </row>
    <row r="59" spans="1:7" x14ac:dyDescent="0.2">
      <c r="A59">
        <v>90</v>
      </c>
      <c r="B59">
        <v>1</v>
      </c>
      <c r="C59">
        <v>8</v>
      </c>
      <c r="D59">
        <v>2007</v>
      </c>
      <c r="E59">
        <v>3</v>
      </c>
      <c r="F59">
        <v>13936886208</v>
      </c>
      <c r="G59">
        <v>10992435458</v>
      </c>
    </row>
    <row r="60" spans="1:7" x14ac:dyDescent="0.2">
      <c r="A60">
        <v>90</v>
      </c>
      <c r="B60">
        <v>1</v>
      </c>
      <c r="C60">
        <v>8</v>
      </c>
      <c r="D60">
        <v>2007</v>
      </c>
      <c r="E60">
        <v>4</v>
      </c>
      <c r="F60">
        <v>13810384264</v>
      </c>
      <c r="G60">
        <v>11373363591</v>
      </c>
    </row>
    <row r="61" spans="1:7" x14ac:dyDescent="0.2">
      <c r="A61">
        <v>90</v>
      </c>
      <c r="B61">
        <v>1</v>
      </c>
      <c r="C61">
        <v>8</v>
      </c>
      <c r="D61">
        <v>2008</v>
      </c>
      <c r="E61">
        <v>1</v>
      </c>
      <c r="F61">
        <v>13727033695</v>
      </c>
      <c r="G61">
        <v>10651443723</v>
      </c>
    </row>
    <row r="62" spans="1:7" x14ac:dyDescent="0.2">
      <c r="A62">
        <v>90</v>
      </c>
      <c r="B62">
        <v>1</v>
      </c>
      <c r="C62">
        <v>8</v>
      </c>
      <c r="D62">
        <v>2008</v>
      </c>
      <c r="E62">
        <v>2</v>
      </c>
      <c r="F62">
        <v>13792696986</v>
      </c>
      <c r="G62">
        <v>11129104644</v>
      </c>
    </row>
    <row r="63" spans="1:7" x14ac:dyDescent="0.2">
      <c r="A63">
        <v>90</v>
      </c>
      <c r="B63">
        <v>1</v>
      </c>
      <c r="C63">
        <v>8</v>
      </c>
      <c r="D63">
        <v>2008</v>
      </c>
      <c r="E63">
        <v>3</v>
      </c>
      <c r="F63">
        <v>13854502664</v>
      </c>
      <c r="G63">
        <v>10925296900</v>
      </c>
    </row>
    <row r="64" spans="1:7" x14ac:dyDescent="0.2">
      <c r="A64">
        <v>90</v>
      </c>
      <c r="B64">
        <v>1</v>
      </c>
      <c r="C64">
        <v>8</v>
      </c>
      <c r="D64">
        <v>2008</v>
      </c>
      <c r="E64">
        <v>4</v>
      </c>
      <c r="F64">
        <v>13826116479</v>
      </c>
      <c r="G64">
        <v>11469855724</v>
      </c>
    </row>
    <row r="65" spans="1:7" x14ac:dyDescent="0.2">
      <c r="A65">
        <v>90</v>
      </c>
      <c r="B65">
        <v>1</v>
      </c>
      <c r="C65">
        <v>8</v>
      </c>
      <c r="D65">
        <v>2009</v>
      </c>
      <c r="E65">
        <v>1</v>
      </c>
      <c r="F65">
        <v>13749556444</v>
      </c>
      <c r="G65">
        <v>10981635422</v>
      </c>
    </row>
    <row r="67" spans="1:7" x14ac:dyDescent="0.2">
      <c r="A67" t="s">
        <v>692</v>
      </c>
    </row>
    <row r="68" spans="1:7" x14ac:dyDescent="0.2">
      <c r="A68" t="s">
        <v>689</v>
      </c>
      <c r="B68" t="s">
        <v>690</v>
      </c>
      <c r="C68" t="s">
        <v>691</v>
      </c>
      <c r="D68" t="s">
        <v>6</v>
      </c>
      <c r="E68" t="s">
        <v>12</v>
      </c>
      <c r="F68" t="s">
        <v>623</v>
      </c>
      <c r="G68" t="s">
        <v>624</v>
      </c>
    </row>
    <row r="69" spans="1:7" x14ac:dyDescent="0.2">
      <c r="A69">
        <v>2</v>
      </c>
      <c r="B69">
        <v>1</v>
      </c>
      <c r="C69">
        <v>10</v>
      </c>
      <c r="D69">
        <v>2004</v>
      </c>
      <c r="E69">
        <v>1</v>
      </c>
      <c r="F69">
        <v>108021899</v>
      </c>
      <c r="G69">
        <v>70583952</v>
      </c>
    </row>
    <row r="70" spans="1:7" x14ac:dyDescent="0.2">
      <c r="A70">
        <v>2</v>
      </c>
      <c r="B70">
        <v>1</v>
      </c>
      <c r="C70">
        <v>10</v>
      </c>
      <c r="D70">
        <v>2004</v>
      </c>
      <c r="E70">
        <v>2</v>
      </c>
      <c r="F70">
        <v>109662857</v>
      </c>
      <c r="G70">
        <v>68965189</v>
      </c>
    </row>
    <row r="71" spans="1:7" x14ac:dyDescent="0.2">
      <c r="A71">
        <v>2</v>
      </c>
      <c r="B71">
        <v>1</v>
      </c>
      <c r="C71">
        <v>10</v>
      </c>
      <c r="D71">
        <v>2004</v>
      </c>
      <c r="E71">
        <v>3</v>
      </c>
      <c r="F71">
        <v>111023745</v>
      </c>
      <c r="G71">
        <v>67300854</v>
      </c>
    </row>
    <row r="72" spans="1:7" x14ac:dyDescent="0.2">
      <c r="A72">
        <v>2</v>
      </c>
      <c r="B72">
        <v>1</v>
      </c>
      <c r="C72">
        <v>10</v>
      </c>
      <c r="D72">
        <v>2004</v>
      </c>
      <c r="E72">
        <v>4</v>
      </c>
      <c r="F72">
        <v>111922042</v>
      </c>
      <c r="G72">
        <v>57807194</v>
      </c>
    </row>
    <row r="73" spans="1:7" x14ac:dyDescent="0.2">
      <c r="A73">
        <v>2</v>
      </c>
      <c r="B73">
        <v>1</v>
      </c>
      <c r="C73">
        <v>10</v>
      </c>
      <c r="D73">
        <v>2005</v>
      </c>
      <c r="E73">
        <v>1</v>
      </c>
      <c r="F73">
        <v>112573489</v>
      </c>
      <c r="G73">
        <v>63281392</v>
      </c>
    </row>
    <row r="74" spans="1:7" x14ac:dyDescent="0.2">
      <c r="A74">
        <v>2</v>
      </c>
      <c r="B74">
        <v>1</v>
      </c>
      <c r="C74">
        <v>10</v>
      </c>
      <c r="D74">
        <v>2005</v>
      </c>
      <c r="E74">
        <v>2</v>
      </c>
      <c r="F74">
        <v>114160084</v>
      </c>
      <c r="G74">
        <v>71731283</v>
      </c>
    </row>
    <row r="75" spans="1:7" x14ac:dyDescent="0.2">
      <c r="A75">
        <v>2</v>
      </c>
      <c r="B75">
        <v>1</v>
      </c>
      <c r="C75">
        <v>10</v>
      </c>
      <c r="D75">
        <v>2005</v>
      </c>
      <c r="E75">
        <v>3</v>
      </c>
      <c r="F75">
        <v>115332490</v>
      </c>
      <c r="G75">
        <v>79178859</v>
      </c>
    </row>
    <row r="76" spans="1:7" x14ac:dyDescent="0.2">
      <c r="A76">
        <v>2</v>
      </c>
      <c r="B76">
        <v>1</v>
      </c>
      <c r="C76">
        <v>10</v>
      </c>
      <c r="D76">
        <v>2005</v>
      </c>
      <c r="E76">
        <v>4</v>
      </c>
      <c r="F76">
        <v>116268234</v>
      </c>
      <c r="G76">
        <v>55881846</v>
      </c>
    </row>
    <row r="77" spans="1:7" x14ac:dyDescent="0.2">
      <c r="A77">
        <v>2</v>
      </c>
      <c r="B77">
        <v>1</v>
      </c>
      <c r="C77">
        <v>10</v>
      </c>
      <c r="D77">
        <v>2006</v>
      </c>
      <c r="E77">
        <v>1</v>
      </c>
      <c r="F77">
        <v>110846178</v>
      </c>
      <c r="G77">
        <v>61061858</v>
      </c>
    </row>
    <row r="78" spans="1:7" x14ac:dyDescent="0.2">
      <c r="A78">
        <v>2</v>
      </c>
      <c r="B78">
        <v>1</v>
      </c>
      <c r="C78">
        <v>10</v>
      </c>
      <c r="D78">
        <v>2006</v>
      </c>
      <c r="E78">
        <v>2</v>
      </c>
      <c r="F78">
        <v>109822093</v>
      </c>
      <c r="G78">
        <v>69491348</v>
      </c>
    </row>
    <row r="79" spans="1:7" x14ac:dyDescent="0.2">
      <c r="A79">
        <v>2</v>
      </c>
      <c r="B79">
        <v>1</v>
      </c>
      <c r="C79">
        <v>10</v>
      </c>
      <c r="D79">
        <v>2006</v>
      </c>
      <c r="E79">
        <v>3</v>
      </c>
      <c r="F79">
        <v>109656329</v>
      </c>
      <c r="G79">
        <v>77459458</v>
      </c>
    </row>
    <row r="80" spans="1:7" x14ac:dyDescent="0.2">
      <c r="A80">
        <v>2</v>
      </c>
      <c r="B80">
        <v>1</v>
      </c>
      <c r="C80">
        <v>10</v>
      </c>
      <c r="D80">
        <v>2006</v>
      </c>
      <c r="E80">
        <v>4</v>
      </c>
      <c r="F80">
        <v>108903555</v>
      </c>
      <c r="G80">
        <v>65469469</v>
      </c>
    </row>
    <row r="81" spans="1:7" x14ac:dyDescent="0.2">
      <c r="A81">
        <v>2</v>
      </c>
      <c r="B81">
        <v>1</v>
      </c>
      <c r="C81">
        <v>10</v>
      </c>
      <c r="D81">
        <v>2007</v>
      </c>
      <c r="E81">
        <v>1</v>
      </c>
      <c r="F81">
        <v>105737857</v>
      </c>
      <c r="G81">
        <v>70664039</v>
      </c>
    </row>
    <row r="82" spans="1:7" x14ac:dyDescent="0.2">
      <c r="A82">
        <v>2</v>
      </c>
      <c r="B82">
        <v>1</v>
      </c>
      <c r="C82">
        <v>10</v>
      </c>
      <c r="D82">
        <v>2007</v>
      </c>
      <c r="E82">
        <v>2</v>
      </c>
      <c r="F82">
        <v>99951870</v>
      </c>
      <c r="G82">
        <v>77995508</v>
      </c>
    </row>
    <row r="83" spans="1:7" x14ac:dyDescent="0.2">
      <c r="A83">
        <v>2</v>
      </c>
      <c r="B83">
        <v>1</v>
      </c>
      <c r="C83">
        <v>10</v>
      </c>
      <c r="D83">
        <v>2007</v>
      </c>
      <c r="E83">
        <v>3</v>
      </c>
      <c r="F83">
        <v>95513600</v>
      </c>
      <c r="G83">
        <v>78569495</v>
      </c>
    </row>
    <row r="84" spans="1:7" x14ac:dyDescent="0.2">
      <c r="A84">
        <v>2</v>
      </c>
      <c r="B84">
        <v>1</v>
      </c>
      <c r="C84">
        <v>10</v>
      </c>
      <c r="D84">
        <v>2007</v>
      </c>
      <c r="E84">
        <v>4</v>
      </c>
      <c r="F84">
        <v>94119339</v>
      </c>
      <c r="G84">
        <v>66729807</v>
      </c>
    </row>
    <row r="85" spans="1:7" x14ac:dyDescent="0.2">
      <c r="A85">
        <v>2</v>
      </c>
      <c r="B85">
        <v>1</v>
      </c>
      <c r="C85">
        <v>10</v>
      </c>
      <c r="D85">
        <v>2008</v>
      </c>
      <c r="E85">
        <v>1</v>
      </c>
      <c r="F85">
        <v>93595825</v>
      </c>
      <c r="G85">
        <v>68867481</v>
      </c>
    </row>
    <row r="86" spans="1:7" x14ac:dyDescent="0.2">
      <c r="A86">
        <v>2</v>
      </c>
      <c r="B86">
        <v>1</v>
      </c>
      <c r="C86">
        <v>10</v>
      </c>
      <c r="D86">
        <v>2008</v>
      </c>
      <c r="E86">
        <v>2</v>
      </c>
      <c r="F86">
        <v>93925157</v>
      </c>
      <c r="G86">
        <v>72985345</v>
      </c>
    </row>
    <row r="87" spans="1:7" x14ac:dyDescent="0.2">
      <c r="A87">
        <v>2</v>
      </c>
      <c r="B87">
        <v>1</v>
      </c>
      <c r="C87">
        <v>10</v>
      </c>
      <c r="D87">
        <v>2008</v>
      </c>
      <c r="E87">
        <v>3</v>
      </c>
      <c r="F87">
        <v>93691679</v>
      </c>
      <c r="G87">
        <v>78682580</v>
      </c>
    </row>
    <row r="88" spans="1:7" x14ac:dyDescent="0.2">
      <c r="A88">
        <v>2</v>
      </c>
      <c r="B88">
        <v>1</v>
      </c>
      <c r="C88">
        <v>10</v>
      </c>
      <c r="D88">
        <v>2008</v>
      </c>
      <c r="E88">
        <v>4</v>
      </c>
      <c r="F88">
        <v>92328863</v>
      </c>
      <c r="G88">
        <v>59525036</v>
      </c>
    </row>
    <row r="89" spans="1:7" x14ac:dyDescent="0.2">
      <c r="A89">
        <v>2</v>
      </c>
      <c r="B89">
        <v>1</v>
      </c>
      <c r="C89">
        <v>10</v>
      </c>
      <c r="D89">
        <v>2009</v>
      </c>
      <c r="E89">
        <v>1</v>
      </c>
      <c r="F89">
        <v>90681695</v>
      </c>
      <c r="G89">
        <v>61718850</v>
      </c>
    </row>
    <row r="90" spans="1:7" x14ac:dyDescent="0.2">
      <c r="A90">
        <v>4</v>
      </c>
      <c r="B90">
        <v>1</v>
      </c>
      <c r="C90">
        <v>10</v>
      </c>
      <c r="D90">
        <v>2004</v>
      </c>
      <c r="E90">
        <v>1</v>
      </c>
      <c r="F90">
        <v>305654036</v>
      </c>
      <c r="G90">
        <v>198881435</v>
      </c>
    </row>
    <row r="91" spans="1:7" x14ac:dyDescent="0.2">
      <c r="A91">
        <v>4</v>
      </c>
      <c r="B91">
        <v>1</v>
      </c>
      <c r="C91">
        <v>10</v>
      </c>
      <c r="D91">
        <v>2004</v>
      </c>
      <c r="E91">
        <v>2</v>
      </c>
      <c r="F91">
        <v>308054591</v>
      </c>
      <c r="G91">
        <v>175952261</v>
      </c>
    </row>
    <row r="92" spans="1:7" x14ac:dyDescent="0.2">
      <c r="A92">
        <v>4</v>
      </c>
      <c r="B92">
        <v>1</v>
      </c>
      <c r="C92">
        <v>10</v>
      </c>
      <c r="D92">
        <v>2004</v>
      </c>
      <c r="E92">
        <v>3</v>
      </c>
      <c r="F92">
        <v>312284348</v>
      </c>
      <c r="G92">
        <v>184903299</v>
      </c>
    </row>
    <row r="93" spans="1:7" x14ac:dyDescent="0.2">
      <c r="A93">
        <v>4</v>
      </c>
      <c r="B93">
        <v>1</v>
      </c>
      <c r="C93">
        <v>10</v>
      </c>
      <c r="D93">
        <v>2004</v>
      </c>
      <c r="E93">
        <v>4</v>
      </c>
      <c r="F93">
        <v>313127084</v>
      </c>
      <c r="G93">
        <v>185890747</v>
      </c>
    </row>
    <row r="94" spans="1:7" x14ac:dyDescent="0.2">
      <c r="A94">
        <v>4</v>
      </c>
      <c r="B94">
        <v>1</v>
      </c>
      <c r="C94">
        <v>10</v>
      </c>
      <c r="D94">
        <v>2005</v>
      </c>
      <c r="E94">
        <v>1</v>
      </c>
      <c r="F94">
        <v>310261682</v>
      </c>
      <c r="G94">
        <v>195209094</v>
      </c>
    </row>
    <row r="95" spans="1:7" x14ac:dyDescent="0.2">
      <c r="A95">
        <v>4</v>
      </c>
      <c r="B95">
        <v>1</v>
      </c>
      <c r="C95">
        <v>10</v>
      </c>
      <c r="D95">
        <v>2005</v>
      </c>
      <c r="E95">
        <v>2</v>
      </c>
      <c r="F95">
        <v>312417618</v>
      </c>
      <c r="G95">
        <v>182669772</v>
      </c>
    </row>
    <row r="96" spans="1:7" x14ac:dyDescent="0.2">
      <c r="A96">
        <v>4</v>
      </c>
      <c r="B96">
        <v>1</v>
      </c>
      <c r="C96">
        <v>10</v>
      </c>
      <c r="D96">
        <v>2005</v>
      </c>
      <c r="E96">
        <v>3</v>
      </c>
      <c r="F96">
        <v>316167126</v>
      </c>
      <c r="G96">
        <v>198506971</v>
      </c>
    </row>
    <row r="97" spans="1:7" x14ac:dyDescent="0.2">
      <c r="A97">
        <v>4</v>
      </c>
      <c r="B97">
        <v>1</v>
      </c>
      <c r="C97">
        <v>10</v>
      </c>
      <c r="D97">
        <v>2005</v>
      </c>
      <c r="E97">
        <v>4</v>
      </c>
      <c r="F97">
        <v>320482980</v>
      </c>
      <c r="G97">
        <v>185874114</v>
      </c>
    </row>
    <row r="98" spans="1:7" x14ac:dyDescent="0.2">
      <c r="A98">
        <v>4</v>
      </c>
      <c r="B98">
        <v>1</v>
      </c>
      <c r="C98">
        <v>10</v>
      </c>
      <c r="D98">
        <v>2006</v>
      </c>
      <c r="E98">
        <v>1</v>
      </c>
      <c r="F98">
        <v>312732272</v>
      </c>
      <c r="G98">
        <v>221529349</v>
      </c>
    </row>
    <row r="99" spans="1:7" x14ac:dyDescent="0.2">
      <c r="A99">
        <v>4</v>
      </c>
      <c r="B99">
        <v>1</v>
      </c>
      <c r="C99">
        <v>10</v>
      </c>
      <c r="D99">
        <v>2006</v>
      </c>
      <c r="E99">
        <v>2</v>
      </c>
      <c r="F99">
        <v>317694788</v>
      </c>
      <c r="G99">
        <v>196469913</v>
      </c>
    </row>
    <row r="100" spans="1:7" x14ac:dyDescent="0.2">
      <c r="A100">
        <v>4</v>
      </c>
      <c r="B100">
        <v>1</v>
      </c>
      <c r="C100">
        <v>10</v>
      </c>
      <c r="D100">
        <v>2006</v>
      </c>
      <c r="E100">
        <v>3</v>
      </c>
      <c r="F100">
        <v>323940555</v>
      </c>
      <c r="G100">
        <v>195723411</v>
      </c>
    </row>
    <row r="101" spans="1:7" x14ac:dyDescent="0.2">
      <c r="A101">
        <v>4</v>
      </c>
      <c r="B101">
        <v>1</v>
      </c>
      <c r="C101">
        <v>10</v>
      </c>
      <c r="D101">
        <v>2006</v>
      </c>
      <c r="E101">
        <v>4</v>
      </c>
      <c r="F101">
        <v>326683182</v>
      </c>
      <c r="G101">
        <v>193540744</v>
      </c>
    </row>
    <row r="102" spans="1:7" x14ac:dyDescent="0.2">
      <c r="A102">
        <v>4</v>
      </c>
      <c r="B102">
        <v>1</v>
      </c>
      <c r="C102">
        <v>10</v>
      </c>
      <c r="D102">
        <v>2007</v>
      </c>
      <c r="E102">
        <v>1</v>
      </c>
      <c r="F102">
        <v>325885638</v>
      </c>
      <c r="G102">
        <v>204734301</v>
      </c>
    </row>
    <row r="103" spans="1:7" x14ac:dyDescent="0.2">
      <c r="A103">
        <v>4</v>
      </c>
      <c r="B103">
        <v>1</v>
      </c>
      <c r="C103">
        <v>10</v>
      </c>
      <c r="D103">
        <v>2007</v>
      </c>
      <c r="E103">
        <v>2</v>
      </c>
      <c r="F103">
        <v>324719220</v>
      </c>
      <c r="G103">
        <v>200810167</v>
      </c>
    </row>
    <row r="104" spans="1:7" x14ac:dyDescent="0.2">
      <c r="A104">
        <v>4</v>
      </c>
      <c r="B104">
        <v>1</v>
      </c>
      <c r="C104">
        <v>10</v>
      </c>
      <c r="D104">
        <v>2007</v>
      </c>
      <c r="E104">
        <v>3</v>
      </c>
      <c r="F104">
        <v>323132290</v>
      </c>
      <c r="G104">
        <v>203049028</v>
      </c>
    </row>
    <row r="105" spans="1:7" x14ac:dyDescent="0.2">
      <c r="A105">
        <v>4</v>
      </c>
      <c r="B105">
        <v>1</v>
      </c>
      <c r="C105">
        <v>10</v>
      </c>
      <c r="D105">
        <v>2007</v>
      </c>
      <c r="E105">
        <v>4</v>
      </c>
      <c r="F105">
        <v>320682608</v>
      </c>
      <c r="G105">
        <v>222126996</v>
      </c>
    </row>
    <row r="106" spans="1:7" x14ac:dyDescent="0.2">
      <c r="A106">
        <v>4</v>
      </c>
      <c r="B106">
        <v>1</v>
      </c>
      <c r="C106">
        <v>10</v>
      </c>
      <c r="D106">
        <v>2008</v>
      </c>
      <c r="E106">
        <v>1</v>
      </c>
      <c r="F106">
        <v>316996574</v>
      </c>
      <c r="G106">
        <v>234193090</v>
      </c>
    </row>
    <row r="107" spans="1:7" x14ac:dyDescent="0.2">
      <c r="A107">
        <v>4</v>
      </c>
      <c r="B107">
        <v>1</v>
      </c>
      <c r="C107">
        <v>10</v>
      </c>
      <c r="D107">
        <v>2008</v>
      </c>
      <c r="E107">
        <v>2</v>
      </c>
      <c r="F107">
        <v>314962878</v>
      </c>
      <c r="G107">
        <v>221474928</v>
      </c>
    </row>
    <row r="108" spans="1:7" x14ac:dyDescent="0.2">
      <c r="A108">
        <v>4</v>
      </c>
      <c r="B108">
        <v>1</v>
      </c>
      <c r="C108">
        <v>10</v>
      </c>
      <c r="D108">
        <v>2008</v>
      </c>
      <c r="E108">
        <v>3</v>
      </c>
      <c r="F108">
        <v>309341668</v>
      </c>
      <c r="G108">
        <v>206942284</v>
      </c>
    </row>
    <row r="109" spans="1:7" x14ac:dyDescent="0.2">
      <c r="A109">
        <v>4</v>
      </c>
      <c r="B109">
        <v>1</v>
      </c>
      <c r="C109">
        <v>10</v>
      </c>
      <c r="D109">
        <v>2008</v>
      </c>
      <c r="E109">
        <v>4</v>
      </c>
      <c r="F109">
        <v>302950338</v>
      </c>
      <c r="G109">
        <v>210430281</v>
      </c>
    </row>
    <row r="110" spans="1:7" x14ac:dyDescent="0.2">
      <c r="A110">
        <v>4</v>
      </c>
      <c r="B110">
        <v>1</v>
      </c>
      <c r="C110">
        <v>10</v>
      </c>
      <c r="D110">
        <v>2009</v>
      </c>
      <c r="E110">
        <v>1</v>
      </c>
      <c r="F110">
        <v>299554289</v>
      </c>
      <c r="G110">
        <v>197404887</v>
      </c>
    </row>
    <row r="111" spans="1:7" x14ac:dyDescent="0.2">
      <c r="A111">
        <v>90</v>
      </c>
      <c r="B111">
        <v>1</v>
      </c>
      <c r="C111">
        <v>10</v>
      </c>
      <c r="D111">
        <v>2004</v>
      </c>
      <c r="E111">
        <v>1</v>
      </c>
      <c r="F111">
        <v>3156529483</v>
      </c>
      <c r="G111">
        <v>1723742350</v>
      </c>
    </row>
    <row r="112" spans="1:7" x14ac:dyDescent="0.2">
      <c r="A112">
        <v>90</v>
      </c>
      <c r="B112">
        <v>1</v>
      </c>
      <c r="C112">
        <v>10</v>
      </c>
      <c r="D112">
        <v>2004</v>
      </c>
      <c r="E112">
        <v>2</v>
      </c>
      <c r="F112">
        <v>3220479834</v>
      </c>
      <c r="G112">
        <v>2126234846</v>
      </c>
    </row>
    <row r="113" spans="1:7" x14ac:dyDescent="0.2">
      <c r="A113">
        <v>90</v>
      </c>
      <c r="B113">
        <v>1</v>
      </c>
      <c r="C113">
        <v>10</v>
      </c>
      <c r="D113">
        <v>2004</v>
      </c>
      <c r="E113">
        <v>3</v>
      </c>
      <c r="F113">
        <v>3248278353</v>
      </c>
      <c r="G113">
        <v>2285251591</v>
      </c>
    </row>
    <row r="114" spans="1:7" x14ac:dyDescent="0.2">
      <c r="A114">
        <v>90</v>
      </c>
      <c r="B114">
        <v>1</v>
      </c>
      <c r="C114">
        <v>10</v>
      </c>
      <c r="D114">
        <v>2004</v>
      </c>
      <c r="E114">
        <v>4</v>
      </c>
      <c r="F114">
        <v>3241187435</v>
      </c>
      <c r="G114">
        <v>1972724622</v>
      </c>
    </row>
    <row r="115" spans="1:7" x14ac:dyDescent="0.2">
      <c r="A115">
        <v>90</v>
      </c>
      <c r="B115">
        <v>1</v>
      </c>
      <c r="C115">
        <v>10</v>
      </c>
      <c r="D115">
        <v>2005</v>
      </c>
      <c r="E115">
        <v>1</v>
      </c>
      <c r="F115">
        <v>3234421359</v>
      </c>
      <c r="G115">
        <v>1745346141</v>
      </c>
    </row>
    <row r="116" spans="1:7" x14ac:dyDescent="0.2">
      <c r="A116">
        <v>90</v>
      </c>
      <c r="B116">
        <v>1</v>
      </c>
      <c r="C116">
        <v>10</v>
      </c>
      <c r="D116">
        <v>2005</v>
      </c>
      <c r="E116">
        <v>2</v>
      </c>
      <c r="F116">
        <v>3234024390</v>
      </c>
      <c r="G116">
        <v>2017989293</v>
      </c>
    </row>
    <row r="117" spans="1:7" x14ac:dyDescent="0.2">
      <c r="A117">
        <v>90</v>
      </c>
      <c r="B117">
        <v>1</v>
      </c>
      <c r="C117">
        <v>10</v>
      </c>
      <c r="D117">
        <v>2005</v>
      </c>
      <c r="E117">
        <v>3</v>
      </c>
      <c r="F117">
        <v>3239843333</v>
      </c>
      <c r="G117">
        <v>2958990103</v>
      </c>
    </row>
    <row r="118" spans="1:7" x14ac:dyDescent="0.2">
      <c r="A118">
        <v>90</v>
      </c>
      <c r="B118">
        <v>1</v>
      </c>
      <c r="C118">
        <v>10</v>
      </c>
      <c r="D118">
        <v>2005</v>
      </c>
      <c r="E118">
        <v>4</v>
      </c>
      <c r="F118">
        <v>3244573641</v>
      </c>
      <c r="G118">
        <v>2556038938</v>
      </c>
    </row>
    <row r="119" spans="1:7" x14ac:dyDescent="0.2">
      <c r="A119">
        <v>90</v>
      </c>
      <c r="B119">
        <v>1</v>
      </c>
      <c r="C119">
        <v>10</v>
      </c>
      <c r="D119">
        <v>2006</v>
      </c>
      <c r="E119">
        <v>1</v>
      </c>
      <c r="F119">
        <v>3116785962</v>
      </c>
      <c r="G119">
        <v>1743977804</v>
      </c>
    </row>
    <row r="120" spans="1:7" x14ac:dyDescent="0.2">
      <c r="A120">
        <v>90</v>
      </c>
      <c r="B120">
        <v>1</v>
      </c>
      <c r="C120">
        <v>10</v>
      </c>
      <c r="D120">
        <v>2006</v>
      </c>
      <c r="E120">
        <v>2</v>
      </c>
      <c r="F120">
        <v>3120988172</v>
      </c>
      <c r="G120">
        <v>2369918865</v>
      </c>
    </row>
    <row r="121" spans="1:7" x14ac:dyDescent="0.2">
      <c r="A121">
        <v>90</v>
      </c>
      <c r="B121">
        <v>1</v>
      </c>
      <c r="C121">
        <v>10</v>
      </c>
      <c r="D121">
        <v>2006</v>
      </c>
      <c r="E121">
        <v>3</v>
      </c>
      <c r="F121">
        <v>3120423478</v>
      </c>
      <c r="G121">
        <v>1928500321</v>
      </c>
    </row>
    <row r="122" spans="1:7" x14ac:dyDescent="0.2">
      <c r="A122">
        <v>90</v>
      </c>
      <c r="B122">
        <v>1</v>
      </c>
      <c r="C122">
        <v>10</v>
      </c>
      <c r="D122">
        <v>2006</v>
      </c>
      <c r="E122">
        <v>4</v>
      </c>
      <c r="F122">
        <v>3095381565</v>
      </c>
      <c r="G122">
        <v>2097258332</v>
      </c>
    </row>
    <row r="123" spans="1:7" x14ac:dyDescent="0.2">
      <c r="A123">
        <v>90</v>
      </c>
      <c r="B123">
        <v>1</v>
      </c>
      <c r="C123">
        <v>10</v>
      </c>
      <c r="D123">
        <v>2007</v>
      </c>
      <c r="E123">
        <v>1</v>
      </c>
      <c r="F123">
        <v>3063100289</v>
      </c>
      <c r="G123">
        <v>1773977735</v>
      </c>
    </row>
    <row r="124" spans="1:7" x14ac:dyDescent="0.2">
      <c r="A124">
        <v>90</v>
      </c>
      <c r="B124">
        <v>1</v>
      </c>
      <c r="C124">
        <v>10</v>
      </c>
      <c r="D124">
        <v>2007</v>
      </c>
      <c r="E124">
        <v>2</v>
      </c>
      <c r="F124">
        <v>3045413903</v>
      </c>
      <c r="G124">
        <v>2085854170</v>
      </c>
    </row>
    <row r="125" spans="1:7" x14ac:dyDescent="0.2">
      <c r="A125">
        <v>90</v>
      </c>
      <c r="B125">
        <v>1</v>
      </c>
      <c r="C125">
        <v>10</v>
      </c>
      <c r="D125">
        <v>2007</v>
      </c>
      <c r="E125">
        <v>3</v>
      </c>
      <c r="F125">
        <v>3025003396</v>
      </c>
      <c r="G125">
        <v>2058234373</v>
      </c>
    </row>
    <row r="126" spans="1:7" x14ac:dyDescent="0.2">
      <c r="A126">
        <v>90</v>
      </c>
      <c r="B126">
        <v>1</v>
      </c>
      <c r="C126">
        <v>10</v>
      </c>
      <c r="D126">
        <v>2007</v>
      </c>
      <c r="E126">
        <v>4</v>
      </c>
      <c r="F126">
        <v>3004117491</v>
      </c>
      <c r="G126">
        <v>2043114851</v>
      </c>
    </row>
    <row r="127" spans="1:7" x14ac:dyDescent="0.2">
      <c r="A127">
        <v>90</v>
      </c>
      <c r="B127">
        <v>1</v>
      </c>
      <c r="C127">
        <v>10</v>
      </c>
      <c r="D127">
        <v>2008</v>
      </c>
      <c r="E127">
        <v>1</v>
      </c>
      <c r="F127">
        <v>2990596441</v>
      </c>
      <c r="G127">
        <v>1883806466</v>
      </c>
    </row>
    <row r="128" spans="1:7" x14ac:dyDescent="0.2">
      <c r="A128">
        <v>90</v>
      </c>
      <c r="B128">
        <v>1</v>
      </c>
      <c r="C128">
        <v>10</v>
      </c>
      <c r="D128">
        <v>2008</v>
      </c>
      <c r="E128">
        <v>2</v>
      </c>
      <c r="F128">
        <v>2995896398</v>
      </c>
      <c r="G128">
        <v>2653153282</v>
      </c>
    </row>
    <row r="129" spans="1:7" x14ac:dyDescent="0.2">
      <c r="A129">
        <v>90</v>
      </c>
      <c r="B129">
        <v>1</v>
      </c>
      <c r="C129">
        <v>10</v>
      </c>
      <c r="D129">
        <v>2008</v>
      </c>
      <c r="E129">
        <v>3</v>
      </c>
      <c r="F129">
        <v>2992940448</v>
      </c>
      <c r="G129">
        <v>2338168838</v>
      </c>
    </row>
    <row r="130" spans="1:7" x14ac:dyDescent="0.2">
      <c r="A130">
        <v>90</v>
      </c>
      <c r="B130">
        <v>1</v>
      </c>
      <c r="C130">
        <v>10</v>
      </c>
      <c r="D130">
        <v>2008</v>
      </c>
      <c r="E130">
        <v>4</v>
      </c>
      <c r="F130">
        <v>2973718623</v>
      </c>
      <c r="G130">
        <v>2080482576</v>
      </c>
    </row>
    <row r="131" spans="1:7" x14ac:dyDescent="0.2">
      <c r="A131">
        <v>90</v>
      </c>
      <c r="B131">
        <v>1</v>
      </c>
      <c r="C131">
        <v>10</v>
      </c>
      <c r="D131">
        <v>2009</v>
      </c>
      <c r="E131">
        <v>1</v>
      </c>
      <c r="F131">
        <v>2924891168</v>
      </c>
      <c r="G131">
        <v>1879467448</v>
      </c>
    </row>
    <row r="133" spans="1:7" x14ac:dyDescent="0.2">
      <c r="A133" t="s">
        <v>693</v>
      </c>
    </row>
    <row r="134" spans="1:7" x14ac:dyDescent="0.2">
      <c r="A134" t="s">
        <v>689</v>
      </c>
      <c r="B134" t="s">
        <v>690</v>
      </c>
      <c r="C134" t="s">
        <v>691</v>
      </c>
      <c r="D134" t="s">
        <v>6</v>
      </c>
      <c r="E134" t="s">
        <v>12</v>
      </c>
      <c r="F134" t="s">
        <v>623</v>
      </c>
      <c r="G134" t="s">
        <v>624</v>
      </c>
    </row>
    <row r="135" spans="1:7" x14ac:dyDescent="0.2">
      <c r="A135">
        <v>2</v>
      </c>
      <c r="B135">
        <v>1</v>
      </c>
      <c r="C135">
        <v>20</v>
      </c>
      <c r="D135">
        <v>2004</v>
      </c>
      <c r="E135">
        <v>1</v>
      </c>
      <c r="F135">
        <v>136193035</v>
      </c>
      <c r="G135">
        <v>90259502</v>
      </c>
    </row>
    <row r="136" spans="1:7" x14ac:dyDescent="0.2">
      <c r="A136">
        <v>2</v>
      </c>
      <c r="B136">
        <v>1</v>
      </c>
      <c r="C136">
        <v>20</v>
      </c>
      <c r="D136">
        <v>2004</v>
      </c>
      <c r="E136">
        <v>2</v>
      </c>
      <c r="F136">
        <v>136296510</v>
      </c>
      <c r="G136">
        <v>85926553</v>
      </c>
    </row>
    <row r="137" spans="1:7" x14ac:dyDescent="0.2">
      <c r="A137">
        <v>2</v>
      </c>
      <c r="B137">
        <v>1</v>
      </c>
      <c r="C137">
        <v>20</v>
      </c>
      <c r="D137">
        <v>2004</v>
      </c>
      <c r="E137">
        <v>3</v>
      </c>
      <c r="F137">
        <v>136356907</v>
      </c>
      <c r="G137">
        <v>89985183</v>
      </c>
    </row>
    <row r="138" spans="1:7" x14ac:dyDescent="0.2">
      <c r="A138">
        <v>2</v>
      </c>
      <c r="B138">
        <v>1</v>
      </c>
      <c r="C138">
        <v>20</v>
      </c>
      <c r="D138">
        <v>2004</v>
      </c>
      <c r="E138">
        <v>4</v>
      </c>
      <c r="F138">
        <v>137335021</v>
      </c>
      <c r="G138">
        <v>96511121</v>
      </c>
    </row>
    <row r="139" spans="1:7" x14ac:dyDescent="0.2">
      <c r="A139">
        <v>2</v>
      </c>
      <c r="B139">
        <v>1</v>
      </c>
      <c r="C139">
        <v>20</v>
      </c>
      <c r="D139">
        <v>2005</v>
      </c>
      <c r="E139">
        <v>1</v>
      </c>
      <c r="F139">
        <v>138098488</v>
      </c>
      <c r="G139">
        <v>99309109</v>
      </c>
    </row>
    <row r="140" spans="1:7" x14ac:dyDescent="0.2">
      <c r="A140">
        <v>2</v>
      </c>
      <c r="B140">
        <v>1</v>
      </c>
      <c r="C140">
        <v>20</v>
      </c>
      <c r="D140">
        <v>2005</v>
      </c>
      <c r="E140">
        <v>2</v>
      </c>
      <c r="F140">
        <v>140161291</v>
      </c>
      <c r="G140">
        <v>94955340</v>
      </c>
    </row>
    <row r="141" spans="1:7" x14ac:dyDescent="0.2">
      <c r="A141">
        <v>2</v>
      </c>
      <c r="B141">
        <v>1</v>
      </c>
      <c r="C141">
        <v>20</v>
      </c>
      <c r="D141">
        <v>2005</v>
      </c>
      <c r="E141">
        <v>3</v>
      </c>
      <c r="F141">
        <v>142571560</v>
      </c>
      <c r="G141">
        <v>99832320</v>
      </c>
    </row>
    <row r="142" spans="1:7" x14ac:dyDescent="0.2">
      <c r="A142">
        <v>2</v>
      </c>
      <c r="B142">
        <v>1</v>
      </c>
      <c r="C142">
        <v>20</v>
      </c>
      <c r="D142">
        <v>2005</v>
      </c>
      <c r="E142">
        <v>4</v>
      </c>
      <c r="F142">
        <v>147201646</v>
      </c>
      <c r="G142">
        <v>104997259</v>
      </c>
    </row>
    <row r="143" spans="1:7" x14ac:dyDescent="0.2">
      <c r="A143">
        <v>2</v>
      </c>
      <c r="B143">
        <v>1</v>
      </c>
      <c r="C143">
        <v>20</v>
      </c>
      <c r="D143">
        <v>2006</v>
      </c>
      <c r="E143">
        <v>1</v>
      </c>
      <c r="F143">
        <v>144352879</v>
      </c>
      <c r="G143">
        <v>103605501</v>
      </c>
    </row>
    <row r="144" spans="1:7" x14ac:dyDescent="0.2">
      <c r="A144">
        <v>2</v>
      </c>
      <c r="B144">
        <v>1</v>
      </c>
      <c r="C144">
        <v>20</v>
      </c>
      <c r="D144">
        <v>2006</v>
      </c>
      <c r="E144">
        <v>2</v>
      </c>
      <c r="F144">
        <v>146151750</v>
      </c>
      <c r="G144">
        <v>94239014</v>
      </c>
    </row>
    <row r="145" spans="1:7" x14ac:dyDescent="0.2">
      <c r="A145">
        <v>2</v>
      </c>
      <c r="B145">
        <v>1</v>
      </c>
      <c r="C145">
        <v>20</v>
      </c>
      <c r="D145">
        <v>2006</v>
      </c>
      <c r="E145">
        <v>3</v>
      </c>
      <c r="F145">
        <v>147006474</v>
      </c>
      <c r="G145">
        <v>100116700</v>
      </c>
    </row>
    <row r="146" spans="1:7" x14ac:dyDescent="0.2">
      <c r="A146">
        <v>2</v>
      </c>
      <c r="B146">
        <v>1</v>
      </c>
      <c r="C146">
        <v>20</v>
      </c>
      <c r="D146">
        <v>2006</v>
      </c>
      <c r="E146">
        <v>4</v>
      </c>
      <c r="F146">
        <v>147117521</v>
      </c>
      <c r="G146">
        <v>111313830</v>
      </c>
    </row>
    <row r="147" spans="1:7" x14ac:dyDescent="0.2">
      <c r="A147">
        <v>2</v>
      </c>
      <c r="B147">
        <v>1</v>
      </c>
      <c r="C147">
        <v>20</v>
      </c>
      <c r="D147">
        <v>2007</v>
      </c>
      <c r="E147">
        <v>1</v>
      </c>
      <c r="F147">
        <v>146302061</v>
      </c>
      <c r="G147">
        <v>110441667</v>
      </c>
    </row>
    <row r="148" spans="1:7" x14ac:dyDescent="0.2">
      <c r="A148">
        <v>2</v>
      </c>
      <c r="B148">
        <v>1</v>
      </c>
      <c r="C148">
        <v>20</v>
      </c>
      <c r="D148">
        <v>2007</v>
      </c>
      <c r="E148">
        <v>2</v>
      </c>
      <c r="F148">
        <v>145333163</v>
      </c>
      <c r="G148">
        <v>102301696</v>
      </c>
    </row>
    <row r="149" spans="1:7" x14ac:dyDescent="0.2">
      <c r="A149">
        <v>2</v>
      </c>
      <c r="B149">
        <v>1</v>
      </c>
      <c r="C149">
        <v>20</v>
      </c>
      <c r="D149">
        <v>2007</v>
      </c>
      <c r="E149">
        <v>3</v>
      </c>
      <c r="F149">
        <v>143968082</v>
      </c>
      <c r="G149">
        <v>99951012</v>
      </c>
    </row>
    <row r="150" spans="1:7" x14ac:dyDescent="0.2">
      <c r="A150">
        <v>2</v>
      </c>
      <c r="B150">
        <v>1</v>
      </c>
      <c r="C150">
        <v>20</v>
      </c>
      <c r="D150">
        <v>2007</v>
      </c>
      <c r="E150">
        <v>4</v>
      </c>
      <c r="F150">
        <v>143215796</v>
      </c>
      <c r="G150">
        <v>103364477</v>
      </c>
    </row>
    <row r="151" spans="1:7" x14ac:dyDescent="0.2">
      <c r="A151">
        <v>2</v>
      </c>
      <c r="B151">
        <v>1</v>
      </c>
      <c r="C151">
        <v>20</v>
      </c>
      <c r="D151">
        <v>2008</v>
      </c>
      <c r="E151">
        <v>1</v>
      </c>
      <c r="F151">
        <v>142717005</v>
      </c>
      <c r="G151">
        <v>104084797</v>
      </c>
    </row>
    <row r="152" spans="1:7" x14ac:dyDescent="0.2">
      <c r="A152">
        <v>2</v>
      </c>
      <c r="B152">
        <v>1</v>
      </c>
      <c r="C152">
        <v>20</v>
      </c>
      <c r="D152">
        <v>2008</v>
      </c>
      <c r="E152">
        <v>2</v>
      </c>
      <c r="F152">
        <v>142586467</v>
      </c>
      <c r="G152">
        <v>82410267</v>
      </c>
    </row>
    <row r="153" spans="1:7" x14ac:dyDescent="0.2">
      <c r="A153">
        <v>2</v>
      </c>
      <c r="B153">
        <v>1</v>
      </c>
      <c r="C153">
        <v>20</v>
      </c>
      <c r="D153">
        <v>2008</v>
      </c>
      <c r="E153">
        <v>3</v>
      </c>
      <c r="F153">
        <v>140819499</v>
      </c>
      <c r="G153">
        <v>84673102</v>
      </c>
    </row>
    <row r="154" spans="1:7" x14ac:dyDescent="0.2">
      <c r="A154">
        <v>2</v>
      </c>
      <c r="B154">
        <v>1</v>
      </c>
      <c r="C154">
        <v>20</v>
      </c>
      <c r="D154">
        <v>2008</v>
      </c>
      <c r="E154">
        <v>4</v>
      </c>
      <c r="F154">
        <v>136967774</v>
      </c>
      <c r="G154">
        <v>84054171</v>
      </c>
    </row>
    <row r="155" spans="1:7" x14ac:dyDescent="0.2">
      <c r="A155">
        <v>2</v>
      </c>
      <c r="B155">
        <v>1</v>
      </c>
      <c r="C155">
        <v>20</v>
      </c>
      <c r="D155">
        <v>2009</v>
      </c>
      <c r="E155">
        <v>1</v>
      </c>
      <c r="F155">
        <v>133078387</v>
      </c>
      <c r="G155">
        <v>80943787</v>
      </c>
    </row>
    <row r="156" spans="1:7" x14ac:dyDescent="0.2">
      <c r="A156">
        <v>4</v>
      </c>
      <c r="B156">
        <v>1</v>
      </c>
      <c r="C156">
        <v>20</v>
      </c>
      <c r="D156">
        <v>2004</v>
      </c>
      <c r="E156">
        <v>1</v>
      </c>
      <c r="F156">
        <v>858986088</v>
      </c>
      <c r="G156">
        <v>590263700</v>
      </c>
    </row>
    <row r="157" spans="1:7" x14ac:dyDescent="0.2">
      <c r="A157">
        <v>4</v>
      </c>
      <c r="B157">
        <v>1</v>
      </c>
      <c r="C157">
        <v>20</v>
      </c>
      <c r="D157">
        <v>2004</v>
      </c>
      <c r="E157">
        <v>2</v>
      </c>
      <c r="F157">
        <v>881593014</v>
      </c>
      <c r="G157">
        <v>531156156</v>
      </c>
    </row>
    <row r="158" spans="1:7" x14ac:dyDescent="0.2">
      <c r="A158">
        <v>4</v>
      </c>
      <c r="B158">
        <v>1</v>
      </c>
      <c r="C158">
        <v>20</v>
      </c>
      <c r="D158">
        <v>2004</v>
      </c>
      <c r="E158">
        <v>3</v>
      </c>
      <c r="F158">
        <v>899476255</v>
      </c>
      <c r="G158">
        <v>552745928</v>
      </c>
    </row>
    <row r="159" spans="1:7" x14ac:dyDescent="0.2">
      <c r="A159">
        <v>4</v>
      </c>
      <c r="B159">
        <v>1</v>
      </c>
      <c r="C159">
        <v>20</v>
      </c>
      <c r="D159">
        <v>2004</v>
      </c>
      <c r="E159">
        <v>4</v>
      </c>
      <c r="F159">
        <v>908514377</v>
      </c>
      <c r="G159">
        <v>599383834</v>
      </c>
    </row>
    <row r="160" spans="1:7" x14ac:dyDescent="0.2">
      <c r="A160">
        <v>4</v>
      </c>
      <c r="B160">
        <v>1</v>
      </c>
      <c r="C160">
        <v>20</v>
      </c>
      <c r="D160">
        <v>2005</v>
      </c>
      <c r="E160">
        <v>1</v>
      </c>
      <c r="F160">
        <v>900675812</v>
      </c>
      <c r="G160">
        <v>613842842</v>
      </c>
    </row>
    <row r="161" spans="1:7" x14ac:dyDescent="0.2">
      <c r="A161">
        <v>4</v>
      </c>
      <c r="B161">
        <v>1</v>
      </c>
      <c r="C161">
        <v>20</v>
      </c>
      <c r="D161">
        <v>2005</v>
      </c>
      <c r="E161">
        <v>2</v>
      </c>
      <c r="F161">
        <v>907567902</v>
      </c>
      <c r="G161">
        <v>557557440</v>
      </c>
    </row>
    <row r="162" spans="1:7" x14ac:dyDescent="0.2">
      <c r="A162">
        <v>4</v>
      </c>
      <c r="B162">
        <v>1</v>
      </c>
      <c r="C162">
        <v>20</v>
      </c>
      <c r="D162">
        <v>2005</v>
      </c>
      <c r="E162">
        <v>3</v>
      </c>
      <c r="F162">
        <v>919417682</v>
      </c>
      <c r="G162">
        <v>593574421</v>
      </c>
    </row>
    <row r="163" spans="1:7" x14ac:dyDescent="0.2">
      <c r="A163">
        <v>4</v>
      </c>
      <c r="B163">
        <v>1</v>
      </c>
      <c r="C163">
        <v>20</v>
      </c>
      <c r="D163">
        <v>2005</v>
      </c>
      <c r="E163">
        <v>4</v>
      </c>
      <c r="F163">
        <v>935433339</v>
      </c>
      <c r="G163">
        <v>632526576</v>
      </c>
    </row>
    <row r="164" spans="1:7" x14ac:dyDescent="0.2">
      <c r="A164">
        <v>4</v>
      </c>
      <c r="B164">
        <v>1</v>
      </c>
      <c r="C164">
        <v>20</v>
      </c>
      <c r="D164">
        <v>2006</v>
      </c>
      <c r="E164">
        <v>1</v>
      </c>
      <c r="F164">
        <v>918895938</v>
      </c>
      <c r="G164">
        <v>637805484</v>
      </c>
    </row>
    <row r="165" spans="1:7" x14ac:dyDescent="0.2">
      <c r="A165">
        <v>4</v>
      </c>
      <c r="B165">
        <v>1</v>
      </c>
      <c r="C165">
        <v>20</v>
      </c>
      <c r="D165">
        <v>2006</v>
      </c>
      <c r="E165">
        <v>2</v>
      </c>
      <c r="F165">
        <v>937605539</v>
      </c>
      <c r="G165">
        <v>594318632</v>
      </c>
    </row>
    <row r="166" spans="1:7" x14ac:dyDescent="0.2">
      <c r="A166">
        <v>4</v>
      </c>
      <c r="B166">
        <v>1</v>
      </c>
      <c r="C166">
        <v>20</v>
      </c>
      <c r="D166">
        <v>2006</v>
      </c>
      <c r="E166">
        <v>3</v>
      </c>
      <c r="F166">
        <v>957127074</v>
      </c>
      <c r="G166">
        <v>610004565</v>
      </c>
    </row>
    <row r="167" spans="1:7" x14ac:dyDescent="0.2">
      <c r="A167">
        <v>4</v>
      </c>
      <c r="B167">
        <v>1</v>
      </c>
      <c r="C167">
        <v>20</v>
      </c>
      <c r="D167">
        <v>2006</v>
      </c>
      <c r="E167">
        <v>4</v>
      </c>
      <c r="F167">
        <v>968622970</v>
      </c>
      <c r="G167">
        <v>629556893</v>
      </c>
    </row>
    <row r="168" spans="1:7" x14ac:dyDescent="0.2">
      <c r="A168">
        <v>4</v>
      </c>
      <c r="B168">
        <v>1</v>
      </c>
      <c r="C168">
        <v>20</v>
      </c>
      <c r="D168">
        <v>2007</v>
      </c>
      <c r="E168">
        <v>1</v>
      </c>
      <c r="F168">
        <v>968118564</v>
      </c>
      <c r="G168">
        <v>647233603</v>
      </c>
    </row>
    <row r="169" spans="1:7" x14ac:dyDescent="0.2">
      <c r="A169">
        <v>4</v>
      </c>
      <c r="B169">
        <v>1</v>
      </c>
      <c r="C169">
        <v>20</v>
      </c>
      <c r="D169">
        <v>2007</v>
      </c>
      <c r="E169">
        <v>2</v>
      </c>
      <c r="F169">
        <v>968153746</v>
      </c>
      <c r="G169">
        <v>612105144</v>
      </c>
    </row>
    <row r="170" spans="1:7" x14ac:dyDescent="0.2">
      <c r="A170">
        <v>4</v>
      </c>
      <c r="B170">
        <v>1</v>
      </c>
      <c r="C170">
        <v>20</v>
      </c>
      <c r="D170">
        <v>2007</v>
      </c>
      <c r="E170">
        <v>3</v>
      </c>
      <c r="F170">
        <v>961624745</v>
      </c>
      <c r="G170">
        <v>624335892</v>
      </c>
    </row>
    <row r="171" spans="1:7" x14ac:dyDescent="0.2">
      <c r="A171">
        <v>4</v>
      </c>
      <c r="B171">
        <v>1</v>
      </c>
      <c r="C171">
        <v>20</v>
      </c>
      <c r="D171">
        <v>2007</v>
      </c>
      <c r="E171">
        <v>4</v>
      </c>
      <c r="F171">
        <v>953846401</v>
      </c>
      <c r="G171">
        <v>655392622</v>
      </c>
    </row>
    <row r="172" spans="1:7" x14ac:dyDescent="0.2">
      <c r="A172">
        <v>4</v>
      </c>
      <c r="B172">
        <v>1</v>
      </c>
      <c r="C172">
        <v>20</v>
      </c>
      <c r="D172">
        <v>2008</v>
      </c>
      <c r="E172">
        <v>1</v>
      </c>
      <c r="F172">
        <v>947542443</v>
      </c>
      <c r="G172">
        <v>662340247</v>
      </c>
    </row>
    <row r="173" spans="1:7" x14ac:dyDescent="0.2">
      <c r="A173">
        <v>4</v>
      </c>
      <c r="B173">
        <v>1</v>
      </c>
      <c r="C173">
        <v>20</v>
      </c>
      <c r="D173">
        <v>2008</v>
      </c>
      <c r="E173">
        <v>2</v>
      </c>
      <c r="F173">
        <v>947916591</v>
      </c>
      <c r="G173">
        <v>573775168</v>
      </c>
    </row>
    <row r="174" spans="1:7" x14ac:dyDescent="0.2">
      <c r="A174">
        <v>4</v>
      </c>
      <c r="B174">
        <v>1</v>
      </c>
      <c r="C174">
        <v>20</v>
      </c>
      <c r="D174">
        <v>2008</v>
      </c>
      <c r="E174">
        <v>3</v>
      </c>
      <c r="F174">
        <v>936712520</v>
      </c>
      <c r="G174">
        <v>575694631</v>
      </c>
    </row>
    <row r="175" spans="1:7" x14ac:dyDescent="0.2">
      <c r="A175">
        <v>4</v>
      </c>
      <c r="B175">
        <v>1</v>
      </c>
      <c r="C175">
        <v>20</v>
      </c>
      <c r="D175">
        <v>2008</v>
      </c>
      <c r="E175">
        <v>4</v>
      </c>
      <c r="F175">
        <v>922623636</v>
      </c>
      <c r="G175">
        <v>598356150</v>
      </c>
    </row>
    <row r="176" spans="1:7" x14ac:dyDescent="0.2">
      <c r="A176">
        <v>4</v>
      </c>
      <c r="B176">
        <v>1</v>
      </c>
      <c r="C176">
        <v>20</v>
      </c>
      <c r="D176">
        <v>2009</v>
      </c>
      <c r="E176">
        <v>1</v>
      </c>
      <c r="F176">
        <v>911287585</v>
      </c>
      <c r="G176">
        <v>609511568</v>
      </c>
    </row>
    <row r="177" spans="1:7" x14ac:dyDescent="0.2">
      <c r="A177">
        <v>90</v>
      </c>
      <c r="B177">
        <v>1</v>
      </c>
      <c r="C177">
        <v>20</v>
      </c>
      <c r="D177">
        <v>2004</v>
      </c>
      <c r="E177">
        <v>1</v>
      </c>
      <c r="F177">
        <v>6532001335</v>
      </c>
      <c r="G177">
        <v>4557576218</v>
      </c>
    </row>
    <row r="178" spans="1:7" x14ac:dyDescent="0.2">
      <c r="A178">
        <v>90</v>
      </c>
      <c r="B178">
        <v>1</v>
      </c>
      <c r="C178">
        <v>20</v>
      </c>
      <c r="D178">
        <v>2004</v>
      </c>
      <c r="E178">
        <v>2</v>
      </c>
      <c r="F178">
        <v>6665733995</v>
      </c>
      <c r="G178">
        <v>4055819556</v>
      </c>
    </row>
    <row r="179" spans="1:7" x14ac:dyDescent="0.2">
      <c r="A179">
        <v>90</v>
      </c>
      <c r="B179">
        <v>1</v>
      </c>
      <c r="C179">
        <v>20</v>
      </c>
      <c r="D179">
        <v>2004</v>
      </c>
      <c r="E179">
        <v>3</v>
      </c>
      <c r="F179">
        <v>6748241379</v>
      </c>
      <c r="G179">
        <v>4279042358</v>
      </c>
    </row>
    <row r="180" spans="1:7" x14ac:dyDescent="0.2">
      <c r="A180">
        <v>90</v>
      </c>
      <c r="B180">
        <v>1</v>
      </c>
      <c r="C180">
        <v>20</v>
      </c>
      <c r="D180">
        <v>2004</v>
      </c>
      <c r="E180">
        <v>4</v>
      </c>
      <c r="F180">
        <v>6739862585</v>
      </c>
      <c r="G180">
        <v>4686986839</v>
      </c>
    </row>
    <row r="181" spans="1:7" x14ac:dyDescent="0.2">
      <c r="A181">
        <v>90</v>
      </c>
      <c r="B181">
        <v>1</v>
      </c>
      <c r="C181">
        <v>20</v>
      </c>
      <c r="D181">
        <v>2005</v>
      </c>
      <c r="E181">
        <v>1</v>
      </c>
      <c r="F181">
        <v>6710684225</v>
      </c>
      <c r="G181">
        <v>4814970742</v>
      </c>
    </row>
    <row r="182" spans="1:7" x14ac:dyDescent="0.2">
      <c r="A182">
        <v>90</v>
      </c>
      <c r="B182">
        <v>1</v>
      </c>
      <c r="C182">
        <v>20</v>
      </c>
      <c r="D182">
        <v>2005</v>
      </c>
      <c r="E182">
        <v>2</v>
      </c>
      <c r="F182">
        <v>6748025517</v>
      </c>
      <c r="G182">
        <v>4327495894</v>
      </c>
    </row>
    <row r="183" spans="1:7" x14ac:dyDescent="0.2">
      <c r="A183">
        <v>90</v>
      </c>
      <c r="B183">
        <v>1</v>
      </c>
      <c r="C183">
        <v>20</v>
      </c>
      <c r="D183">
        <v>2005</v>
      </c>
      <c r="E183">
        <v>3</v>
      </c>
      <c r="F183">
        <v>6786517896</v>
      </c>
      <c r="G183">
        <v>4406957643</v>
      </c>
    </row>
    <row r="184" spans="1:7" x14ac:dyDescent="0.2">
      <c r="A184">
        <v>90</v>
      </c>
      <c r="B184">
        <v>1</v>
      </c>
      <c r="C184">
        <v>20</v>
      </c>
      <c r="D184">
        <v>2005</v>
      </c>
      <c r="E184">
        <v>4</v>
      </c>
      <c r="F184">
        <v>6844368484</v>
      </c>
      <c r="G184">
        <v>4946322969</v>
      </c>
    </row>
    <row r="185" spans="1:7" x14ac:dyDescent="0.2">
      <c r="A185">
        <v>90</v>
      </c>
      <c r="B185">
        <v>1</v>
      </c>
      <c r="C185">
        <v>20</v>
      </c>
      <c r="D185">
        <v>2006</v>
      </c>
      <c r="E185">
        <v>1</v>
      </c>
      <c r="F185">
        <v>6592976677</v>
      </c>
      <c r="G185">
        <v>4690721770</v>
      </c>
    </row>
    <row r="186" spans="1:7" x14ac:dyDescent="0.2">
      <c r="A186">
        <v>90</v>
      </c>
      <c r="B186">
        <v>1</v>
      </c>
      <c r="C186">
        <v>20</v>
      </c>
      <c r="D186">
        <v>2006</v>
      </c>
      <c r="E186">
        <v>2</v>
      </c>
      <c r="F186">
        <v>6669922840</v>
      </c>
      <c r="G186">
        <v>4337153448</v>
      </c>
    </row>
    <row r="187" spans="1:7" x14ac:dyDescent="0.2">
      <c r="A187">
        <v>90</v>
      </c>
      <c r="B187">
        <v>1</v>
      </c>
      <c r="C187">
        <v>20</v>
      </c>
      <c r="D187">
        <v>2006</v>
      </c>
      <c r="E187">
        <v>3</v>
      </c>
      <c r="F187">
        <v>6698891922</v>
      </c>
      <c r="G187">
        <v>4385062245</v>
      </c>
    </row>
    <row r="188" spans="1:7" x14ac:dyDescent="0.2">
      <c r="A188">
        <v>90</v>
      </c>
      <c r="B188">
        <v>1</v>
      </c>
      <c r="C188">
        <v>20</v>
      </c>
      <c r="D188">
        <v>2006</v>
      </c>
      <c r="E188">
        <v>4</v>
      </c>
      <c r="F188">
        <v>6683540161</v>
      </c>
      <c r="G188">
        <v>4828317935</v>
      </c>
    </row>
    <row r="189" spans="1:7" x14ac:dyDescent="0.2">
      <c r="A189">
        <v>90</v>
      </c>
      <c r="B189">
        <v>1</v>
      </c>
      <c r="C189">
        <v>20</v>
      </c>
      <c r="D189">
        <v>2007</v>
      </c>
      <c r="E189">
        <v>1</v>
      </c>
      <c r="F189">
        <v>6628052655</v>
      </c>
      <c r="G189">
        <v>5024065103</v>
      </c>
    </row>
    <row r="190" spans="1:7" x14ac:dyDescent="0.2">
      <c r="A190">
        <v>90</v>
      </c>
      <c r="B190">
        <v>1</v>
      </c>
      <c r="C190">
        <v>20</v>
      </c>
      <c r="D190">
        <v>2007</v>
      </c>
      <c r="E190">
        <v>2</v>
      </c>
      <c r="F190">
        <v>6633398625</v>
      </c>
      <c r="G190">
        <v>4485873030</v>
      </c>
    </row>
    <row r="191" spans="1:7" x14ac:dyDescent="0.2">
      <c r="A191">
        <v>90</v>
      </c>
      <c r="B191">
        <v>1</v>
      </c>
      <c r="C191">
        <v>20</v>
      </c>
      <c r="D191">
        <v>2007</v>
      </c>
      <c r="E191">
        <v>3</v>
      </c>
      <c r="F191">
        <v>6599607969</v>
      </c>
      <c r="G191">
        <v>4448766561</v>
      </c>
    </row>
    <row r="192" spans="1:7" x14ac:dyDescent="0.2">
      <c r="A192">
        <v>90</v>
      </c>
      <c r="B192">
        <v>1</v>
      </c>
      <c r="C192">
        <v>20</v>
      </c>
      <c r="D192">
        <v>2007</v>
      </c>
      <c r="E192">
        <v>4</v>
      </c>
      <c r="F192">
        <v>6560187376</v>
      </c>
      <c r="G192">
        <v>4988617718</v>
      </c>
    </row>
    <row r="193" spans="1:9" x14ac:dyDescent="0.2">
      <c r="A193">
        <v>90</v>
      </c>
      <c r="B193">
        <v>1</v>
      </c>
      <c r="C193">
        <v>20</v>
      </c>
      <c r="D193">
        <v>2008</v>
      </c>
      <c r="E193">
        <v>1</v>
      </c>
      <c r="F193">
        <v>6540399956</v>
      </c>
      <c r="G193">
        <v>5194073611</v>
      </c>
    </row>
    <row r="194" spans="1:9" x14ac:dyDescent="0.2">
      <c r="A194">
        <v>90</v>
      </c>
      <c r="B194">
        <v>1</v>
      </c>
      <c r="C194">
        <v>20</v>
      </c>
      <c r="D194">
        <v>2008</v>
      </c>
      <c r="E194">
        <v>2</v>
      </c>
      <c r="F194">
        <v>6567439011</v>
      </c>
      <c r="G194">
        <v>4257403324</v>
      </c>
    </row>
    <row r="195" spans="1:9" x14ac:dyDescent="0.2">
      <c r="A195">
        <v>90</v>
      </c>
      <c r="B195">
        <v>1</v>
      </c>
      <c r="C195">
        <v>20</v>
      </c>
      <c r="D195">
        <v>2008</v>
      </c>
      <c r="E195">
        <v>3</v>
      </c>
      <c r="F195">
        <v>6572816039</v>
      </c>
      <c r="G195">
        <v>4299800982</v>
      </c>
    </row>
    <row r="196" spans="1:9" x14ac:dyDescent="0.2">
      <c r="A196">
        <v>90</v>
      </c>
      <c r="B196">
        <v>1</v>
      </c>
      <c r="C196">
        <v>20</v>
      </c>
      <c r="D196">
        <v>2008</v>
      </c>
      <c r="E196">
        <v>4</v>
      </c>
      <c r="F196">
        <v>6516387369</v>
      </c>
      <c r="G196">
        <v>4819403823</v>
      </c>
    </row>
    <row r="197" spans="1:9" x14ac:dyDescent="0.2">
      <c r="A197">
        <v>90</v>
      </c>
      <c r="B197">
        <v>1</v>
      </c>
      <c r="C197">
        <v>20</v>
      </c>
      <c r="D197">
        <v>2009</v>
      </c>
      <c r="E197">
        <v>1</v>
      </c>
      <c r="F197">
        <v>6455050759</v>
      </c>
      <c r="G197">
        <v>4747368924</v>
      </c>
    </row>
    <row r="199" spans="1:9" x14ac:dyDescent="0.2">
      <c r="A199" t="s">
        <v>694</v>
      </c>
    </row>
    <row r="200" spans="1:9" x14ac:dyDescent="0.2">
      <c r="A200" t="s">
        <v>689</v>
      </c>
      <c r="B200" t="s">
        <v>690</v>
      </c>
      <c r="C200" t="s">
        <v>691</v>
      </c>
      <c r="D200" t="s">
        <v>6</v>
      </c>
      <c r="E200" t="s">
        <v>12</v>
      </c>
      <c r="F200" t="s">
        <v>92</v>
      </c>
      <c r="G200" t="s">
        <v>95</v>
      </c>
      <c r="H200" t="s">
        <v>93</v>
      </c>
      <c r="I200" t="s">
        <v>94</v>
      </c>
    </row>
    <row r="201" spans="1:9" x14ac:dyDescent="0.2">
      <c r="A201">
        <v>2</v>
      </c>
      <c r="B201">
        <v>99</v>
      </c>
      <c r="C201">
        <v>1</v>
      </c>
      <c r="D201">
        <v>2004</v>
      </c>
      <c r="E201">
        <v>1</v>
      </c>
      <c r="F201">
        <v>542336</v>
      </c>
      <c r="G201">
        <v>76467107</v>
      </c>
      <c r="H201">
        <v>7626</v>
      </c>
      <c r="I201">
        <v>10732</v>
      </c>
    </row>
    <row r="202" spans="1:9" x14ac:dyDescent="0.2">
      <c r="A202">
        <v>2</v>
      </c>
      <c r="B202">
        <v>99</v>
      </c>
      <c r="C202">
        <v>1</v>
      </c>
      <c r="D202">
        <v>2004</v>
      </c>
      <c r="E202">
        <v>2</v>
      </c>
      <c r="F202">
        <v>547971</v>
      </c>
      <c r="G202">
        <v>84528519</v>
      </c>
      <c r="H202">
        <v>7940</v>
      </c>
      <c r="I202">
        <v>10184</v>
      </c>
    </row>
    <row r="203" spans="1:9" x14ac:dyDescent="0.2">
      <c r="A203">
        <v>2</v>
      </c>
      <c r="B203">
        <v>99</v>
      </c>
      <c r="C203">
        <v>1</v>
      </c>
      <c r="D203">
        <v>2004</v>
      </c>
      <c r="E203">
        <v>3</v>
      </c>
      <c r="F203">
        <v>552485</v>
      </c>
      <c r="G203">
        <v>79359968</v>
      </c>
      <c r="H203">
        <v>7490</v>
      </c>
      <c r="I203">
        <v>10008</v>
      </c>
    </row>
    <row r="204" spans="1:9" x14ac:dyDescent="0.2">
      <c r="A204">
        <v>2</v>
      </c>
      <c r="B204">
        <v>99</v>
      </c>
      <c r="C204">
        <v>1</v>
      </c>
      <c r="D204">
        <v>2004</v>
      </c>
      <c r="E204">
        <v>4</v>
      </c>
      <c r="F204">
        <v>559010</v>
      </c>
      <c r="G204">
        <v>77562190</v>
      </c>
      <c r="H204">
        <v>7487</v>
      </c>
      <c r="I204">
        <v>10564</v>
      </c>
    </row>
    <row r="205" spans="1:9" x14ac:dyDescent="0.2">
      <c r="A205">
        <v>2</v>
      </c>
      <c r="B205">
        <v>99</v>
      </c>
      <c r="C205">
        <v>1</v>
      </c>
      <c r="D205">
        <v>2005</v>
      </c>
      <c r="E205">
        <v>1</v>
      </c>
      <c r="F205">
        <v>564445</v>
      </c>
      <c r="G205">
        <v>74608033</v>
      </c>
      <c r="H205">
        <v>7286</v>
      </c>
      <c r="I205">
        <v>10341</v>
      </c>
    </row>
    <row r="206" spans="1:9" x14ac:dyDescent="0.2">
      <c r="A206">
        <v>2</v>
      </c>
      <c r="B206">
        <v>99</v>
      </c>
      <c r="C206">
        <v>1</v>
      </c>
      <c r="D206">
        <v>2005</v>
      </c>
      <c r="E206">
        <v>2</v>
      </c>
      <c r="F206">
        <v>572258</v>
      </c>
      <c r="G206">
        <v>77877259</v>
      </c>
      <c r="H206">
        <v>7768</v>
      </c>
      <c r="I206">
        <v>10095</v>
      </c>
    </row>
    <row r="207" spans="1:9" x14ac:dyDescent="0.2">
      <c r="A207">
        <v>2</v>
      </c>
      <c r="B207">
        <v>99</v>
      </c>
      <c r="C207">
        <v>1</v>
      </c>
      <c r="D207">
        <v>2005</v>
      </c>
      <c r="E207">
        <v>3</v>
      </c>
      <c r="F207">
        <v>579496</v>
      </c>
      <c r="G207">
        <v>79802346</v>
      </c>
      <c r="H207">
        <v>7373</v>
      </c>
      <c r="I207">
        <v>9833</v>
      </c>
    </row>
    <row r="208" spans="1:9" x14ac:dyDescent="0.2">
      <c r="A208">
        <v>2</v>
      </c>
      <c r="B208">
        <v>99</v>
      </c>
      <c r="C208">
        <v>1</v>
      </c>
      <c r="D208">
        <v>2005</v>
      </c>
      <c r="E208">
        <v>4</v>
      </c>
      <c r="F208">
        <v>586424</v>
      </c>
      <c r="G208">
        <v>75704976</v>
      </c>
      <c r="H208">
        <v>6939</v>
      </c>
      <c r="I208">
        <v>10215</v>
      </c>
    </row>
    <row r="209" spans="1:9" x14ac:dyDescent="0.2">
      <c r="A209">
        <v>2</v>
      </c>
      <c r="B209">
        <v>99</v>
      </c>
      <c r="C209">
        <v>1</v>
      </c>
      <c r="D209">
        <v>2006</v>
      </c>
      <c r="E209">
        <v>1</v>
      </c>
      <c r="F209">
        <v>588594</v>
      </c>
      <c r="G209">
        <v>77410805</v>
      </c>
      <c r="H209">
        <v>7008</v>
      </c>
      <c r="I209">
        <v>10267</v>
      </c>
    </row>
    <row r="210" spans="1:9" x14ac:dyDescent="0.2">
      <c r="A210">
        <v>2</v>
      </c>
      <c r="B210">
        <v>99</v>
      </c>
      <c r="C210">
        <v>1</v>
      </c>
      <c r="D210">
        <v>2006</v>
      </c>
      <c r="E210">
        <v>2</v>
      </c>
      <c r="F210">
        <v>593745</v>
      </c>
      <c r="G210">
        <v>80427313</v>
      </c>
      <c r="H210">
        <v>7226</v>
      </c>
      <c r="I210">
        <v>9600</v>
      </c>
    </row>
    <row r="211" spans="1:9" x14ac:dyDescent="0.2">
      <c r="A211">
        <v>2</v>
      </c>
      <c r="B211">
        <v>99</v>
      </c>
      <c r="C211">
        <v>1</v>
      </c>
      <c r="D211">
        <v>2006</v>
      </c>
      <c r="E211">
        <v>3</v>
      </c>
      <c r="F211">
        <v>594860</v>
      </c>
      <c r="G211">
        <v>75241606</v>
      </c>
      <c r="H211">
        <v>6988</v>
      </c>
      <c r="I211">
        <v>9168</v>
      </c>
    </row>
    <row r="212" spans="1:9" x14ac:dyDescent="0.2">
      <c r="A212">
        <v>2</v>
      </c>
      <c r="B212">
        <v>99</v>
      </c>
      <c r="C212">
        <v>1</v>
      </c>
      <c r="D212">
        <v>2006</v>
      </c>
      <c r="E212">
        <v>4</v>
      </c>
      <c r="F212">
        <v>597673</v>
      </c>
      <c r="G212">
        <v>89699603</v>
      </c>
      <c r="H212">
        <v>7143</v>
      </c>
      <c r="I212">
        <v>9964</v>
      </c>
    </row>
    <row r="213" spans="1:9" x14ac:dyDescent="0.2">
      <c r="A213">
        <v>2</v>
      </c>
      <c r="B213">
        <v>99</v>
      </c>
      <c r="C213">
        <v>1</v>
      </c>
      <c r="D213">
        <v>2007</v>
      </c>
      <c r="E213">
        <v>1</v>
      </c>
      <c r="F213">
        <v>597015</v>
      </c>
      <c r="G213">
        <v>74204982</v>
      </c>
      <c r="H213">
        <v>6842</v>
      </c>
      <c r="I213">
        <v>9796</v>
      </c>
    </row>
    <row r="214" spans="1:9" x14ac:dyDescent="0.2">
      <c r="A214">
        <v>2</v>
      </c>
      <c r="B214">
        <v>99</v>
      </c>
      <c r="C214">
        <v>1</v>
      </c>
      <c r="D214">
        <v>2007</v>
      </c>
      <c r="E214">
        <v>2</v>
      </c>
      <c r="F214">
        <v>599681</v>
      </c>
      <c r="G214">
        <v>86784871</v>
      </c>
      <c r="H214">
        <v>7211</v>
      </c>
      <c r="I214">
        <v>9157</v>
      </c>
    </row>
    <row r="215" spans="1:9" x14ac:dyDescent="0.2">
      <c r="A215">
        <v>2</v>
      </c>
      <c r="B215">
        <v>99</v>
      </c>
      <c r="C215">
        <v>1</v>
      </c>
      <c r="D215">
        <v>2007</v>
      </c>
      <c r="E215">
        <v>3</v>
      </c>
      <c r="F215">
        <v>598238</v>
      </c>
      <c r="G215">
        <v>82458567</v>
      </c>
      <c r="H215">
        <v>6905</v>
      </c>
      <c r="I215">
        <v>8699</v>
      </c>
    </row>
    <row r="216" spans="1:9" x14ac:dyDescent="0.2">
      <c r="A216">
        <v>2</v>
      </c>
      <c r="B216">
        <v>99</v>
      </c>
      <c r="C216">
        <v>1</v>
      </c>
      <c r="D216">
        <v>2007</v>
      </c>
      <c r="E216">
        <v>4</v>
      </c>
      <c r="F216">
        <v>599002</v>
      </c>
      <c r="G216">
        <v>81791200</v>
      </c>
      <c r="H216">
        <v>6714</v>
      </c>
      <c r="I216">
        <v>9441</v>
      </c>
    </row>
    <row r="217" spans="1:9" x14ac:dyDescent="0.2">
      <c r="A217">
        <v>2</v>
      </c>
      <c r="B217">
        <v>99</v>
      </c>
      <c r="C217">
        <v>1</v>
      </c>
      <c r="D217">
        <v>2008</v>
      </c>
      <c r="E217">
        <v>1</v>
      </c>
      <c r="F217">
        <v>598531</v>
      </c>
      <c r="G217">
        <v>78655136</v>
      </c>
      <c r="H217">
        <v>6675</v>
      </c>
      <c r="I217">
        <v>8888</v>
      </c>
    </row>
    <row r="218" spans="1:9" x14ac:dyDescent="0.2">
      <c r="A218">
        <v>2</v>
      </c>
      <c r="B218">
        <v>99</v>
      </c>
      <c r="C218">
        <v>1</v>
      </c>
      <c r="D218">
        <v>2008</v>
      </c>
      <c r="E218">
        <v>2</v>
      </c>
      <c r="F218">
        <v>598403</v>
      </c>
      <c r="G218">
        <v>82089394</v>
      </c>
      <c r="H218">
        <v>6891</v>
      </c>
      <c r="I218">
        <v>8175</v>
      </c>
    </row>
    <row r="219" spans="1:9" x14ac:dyDescent="0.2">
      <c r="A219">
        <v>2</v>
      </c>
      <c r="B219">
        <v>99</v>
      </c>
      <c r="C219">
        <v>1</v>
      </c>
      <c r="D219">
        <v>2008</v>
      </c>
      <c r="E219">
        <v>3</v>
      </c>
      <c r="F219">
        <v>594301</v>
      </c>
      <c r="G219">
        <v>81000428</v>
      </c>
      <c r="H219">
        <v>6561</v>
      </c>
      <c r="I219">
        <v>7459</v>
      </c>
    </row>
    <row r="220" spans="1:9" x14ac:dyDescent="0.2">
      <c r="A220">
        <v>2</v>
      </c>
      <c r="B220">
        <v>99</v>
      </c>
      <c r="C220">
        <v>1</v>
      </c>
      <c r="D220">
        <v>2008</v>
      </c>
      <c r="E220">
        <v>4</v>
      </c>
      <c r="F220">
        <v>591264</v>
      </c>
      <c r="G220">
        <v>83062966</v>
      </c>
      <c r="H220">
        <v>6218</v>
      </c>
      <c r="I220">
        <v>7649</v>
      </c>
    </row>
    <row r="221" spans="1:9" x14ac:dyDescent="0.2">
      <c r="A221">
        <v>2</v>
      </c>
      <c r="B221">
        <v>99</v>
      </c>
      <c r="C221">
        <v>1</v>
      </c>
      <c r="D221">
        <v>2009</v>
      </c>
      <c r="E221">
        <v>1</v>
      </c>
      <c r="F221">
        <v>588193</v>
      </c>
      <c r="G221">
        <v>75167399</v>
      </c>
      <c r="H221">
        <v>6185</v>
      </c>
      <c r="I221">
        <v>7659</v>
      </c>
    </row>
    <row r="222" spans="1:9" x14ac:dyDescent="0.2">
      <c r="A222">
        <v>4</v>
      </c>
      <c r="B222">
        <v>99</v>
      </c>
      <c r="C222">
        <v>1</v>
      </c>
      <c r="D222">
        <v>2004</v>
      </c>
      <c r="E222">
        <v>1</v>
      </c>
      <c r="F222">
        <v>3032084</v>
      </c>
      <c r="G222">
        <v>347020815</v>
      </c>
      <c r="H222">
        <v>38018</v>
      </c>
      <c r="I222">
        <v>56982</v>
      </c>
    </row>
    <row r="223" spans="1:9" x14ac:dyDescent="0.2">
      <c r="A223">
        <v>4</v>
      </c>
      <c r="B223">
        <v>99</v>
      </c>
      <c r="C223">
        <v>1</v>
      </c>
      <c r="D223">
        <v>2004</v>
      </c>
      <c r="E223">
        <v>2</v>
      </c>
      <c r="F223">
        <v>3048445</v>
      </c>
      <c r="G223">
        <v>341691355</v>
      </c>
      <c r="H223">
        <v>36497</v>
      </c>
      <c r="I223">
        <v>55817</v>
      </c>
    </row>
    <row r="224" spans="1:9" x14ac:dyDescent="0.2">
      <c r="A224">
        <v>4</v>
      </c>
      <c r="B224">
        <v>99</v>
      </c>
      <c r="C224">
        <v>1</v>
      </c>
      <c r="D224">
        <v>2004</v>
      </c>
      <c r="E224">
        <v>3</v>
      </c>
      <c r="F224">
        <v>3067150</v>
      </c>
      <c r="G224">
        <v>340032744</v>
      </c>
      <c r="H224">
        <v>34858</v>
      </c>
      <c r="I224">
        <v>54267</v>
      </c>
    </row>
    <row r="225" spans="1:9" x14ac:dyDescent="0.2">
      <c r="A225">
        <v>4</v>
      </c>
      <c r="B225">
        <v>99</v>
      </c>
      <c r="C225">
        <v>1</v>
      </c>
      <c r="D225">
        <v>2004</v>
      </c>
      <c r="E225">
        <v>4</v>
      </c>
      <c r="F225">
        <v>3080037</v>
      </c>
      <c r="G225">
        <v>335704130</v>
      </c>
      <c r="H225">
        <v>35199</v>
      </c>
      <c r="I225">
        <v>54986</v>
      </c>
    </row>
    <row r="226" spans="1:9" x14ac:dyDescent="0.2">
      <c r="A226">
        <v>4</v>
      </c>
      <c r="B226">
        <v>99</v>
      </c>
      <c r="C226">
        <v>1</v>
      </c>
      <c r="D226">
        <v>2005</v>
      </c>
      <c r="E226">
        <v>1</v>
      </c>
      <c r="F226">
        <v>3081971</v>
      </c>
      <c r="G226">
        <v>310350529</v>
      </c>
      <c r="H226">
        <v>33865</v>
      </c>
      <c r="I226">
        <v>54085</v>
      </c>
    </row>
    <row r="227" spans="1:9" x14ac:dyDescent="0.2">
      <c r="A227">
        <v>4</v>
      </c>
      <c r="B227">
        <v>99</v>
      </c>
      <c r="C227">
        <v>1</v>
      </c>
      <c r="D227">
        <v>2005</v>
      </c>
      <c r="E227">
        <v>2</v>
      </c>
      <c r="F227">
        <v>3112330</v>
      </c>
      <c r="G227">
        <v>324746733</v>
      </c>
      <c r="H227">
        <v>33601</v>
      </c>
      <c r="I227">
        <v>52332</v>
      </c>
    </row>
    <row r="228" spans="1:9" x14ac:dyDescent="0.2">
      <c r="A228">
        <v>4</v>
      </c>
      <c r="B228">
        <v>99</v>
      </c>
      <c r="C228">
        <v>1</v>
      </c>
      <c r="D228">
        <v>2005</v>
      </c>
      <c r="E228">
        <v>3</v>
      </c>
      <c r="F228">
        <v>3138240</v>
      </c>
      <c r="G228">
        <v>309933301</v>
      </c>
      <c r="H228">
        <v>32076</v>
      </c>
      <c r="I228">
        <v>50409</v>
      </c>
    </row>
    <row r="229" spans="1:9" x14ac:dyDescent="0.2">
      <c r="A229">
        <v>4</v>
      </c>
      <c r="B229">
        <v>99</v>
      </c>
      <c r="C229">
        <v>1</v>
      </c>
      <c r="D229">
        <v>2005</v>
      </c>
      <c r="E229">
        <v>4</v>
      </c>
      <c r="F229">
        <v>3153499</v>
      </c>
      <c r="G229">
        <v>300016735</v>
      </c>
      <c r="H229">
        <v>31024</v>
      </c>
      <c r="I229">
        <v>50283</v>
      </c>
    </row>
    <row r="230" spans="1:9" x14ac:dyDescent="0.2">
      <c r="A230">
        <v>4</v>
      </c>
      <c r="B230">
        <v>99</v>
      </c>
      <c r="C230">
        <v>1</v>
      </c>
      <c r="D230">
        <v>2006</v>
      </c>
      <c r="E230">
        <v>1</v>
      </c>
      <c r="F230">
        <v>3157936</v>
      </c>
      <c r="G230">
        <v>320786597</v>
      </c>
      <c r="H230">
        <v>32040</v>
      </c>
      <c r="I230">
        <v>50755</v>
      </c>
    </row>
    <row r="231" spans="1:9" x14ac:dyDescent="0.2">
      <c r="A231">
        <v>4</v>
      </c>
      <c r="B231">
        <v>99</v>
      </c>
      <c r="C231">
        <v>1</v>
      </c>
      <c r="D231">
        <v>2006</v>
      </c>
      <c r="E231">
        <v>2</v>
      </c>
      <c r="F231">
        <v>3193959</v>
      </c>
      <c r="G231">
        <v>330691309</v>
      </c>
      <c r="H231">
        <v>33425</v>
      </c>
      <c r="I231">
        <v>47900</v>
      </c>
    </row>
    <row r="232" spans="1:9" x14ac:dyDescent="0.2">
      <c r="A232">
        <v>4</v>
      </c>
      <c r="B232">
        <v>99</v>
      </c>
      <c r="C232">
        <v>1</v>
      </c>
      <c r="D232">
        <v>2006</v>
      </c>
      <c r="E232">
        <v>3</v>
      </c>
      <c r="F232">
        <v>3219368</v>
      </c>
      <c r="G232">
        <v>328107232</v>
      </c>
      <c r="H232">
        <v>32269</v>
      </c>
      <c r="I232">
        <v>47715</v>
      </c>
    </row>
    <row r="233" spans="1:9" x14ac:dyDescent="0.2">
      <c r="A233">
        <v>4</v>
      </c>
      <c r="B233">
        <v>99</v>
      </c>
      <c r="C233">
        <v>1</v>
      </c>
      <c r="D233">
        <v>2006</v>
      </c>
      <c r="E233">
        <v>4</v>
      </c>
      <c r="F233">
        <v>3238257</v>
      </c>
      <c r="G233">
        <v>326933584</v>
      </c>
      <c r="H233">
        <v>32013</v>
      </c>
      <c r="I233">
        <v>49433</v>
      </c>
    </row>
    <row r="234" spans="1:9" x14ac:dyDescent="0.2">
      <c r="A234">
        <v>4</v>
      </c>
      <c r="B234">
        <v>99</v>
      </c>
      <c r="C234">
        <v>1</v>
      </c>
      <c r="D234">
        <v>2007</v>
      </c>
      <c r="E234">
        <v>1</v>
      </c>
      <c r="F234">
        <v>3260485</v>
      </c>
      <c r="G234">
        <v>342469697</v>
      </c>
      <c r="H234">
        <v>31768</v>
      </c>
      <c r="I234">
        <v>48105</v>
      </c>
    </row>
    <row r="235" spans="1:9" x14ac:dyDescent="0.2">
      <c r="A235">
        <v>4</v>
      </c>
      <c r="B235">
        <v>99</v>
      </c>
      <c r="C235">
        <v>1</v>
      </c>
      <c r="D235">
        <v>2007</v>
      </c>
      <c r="E235">
        <v>2</v>
      </c>
      <c r="F235">
        <v>3310992</v>
      </c>
      <c r="G235">
        <v>331884245</v>
      </c>
      <c r="H235">
        <v>31397</v>
      </c>
      <c r="I235">
        <v>47660</v>
      </c>
    </row>
    <row r="236" spans="1:9" x14ac:dyDescent="0.2">
      <c r="A236">
        <v>4</v>
      </c>
      <c r="B236">
        <v>99</v>
      </c>
      <c r="C236">
        <v>1</v>
      </c>
      <c r="D236">
        <v>2007</v>
      </c>
      <c r="E236">
        <v>3</v>
      </c>
      <c r="F236">
        <v>3341472</v>
      </c>
      <c r="G236">
        <v>338713732</v>
      </c>
      <c r="H236">
        <v>30748</v>
      </c>
      <c r="I236">
        <v>47955</v>
      </c>
    </row>
    <row r="237" spans="1:9" x14ac:dyDescent="0.2">
      <c r="A237">
        <v>4</v>
      </c>
      <c r="B237">
        <v>99</v>
      </c>
      <c r="C237">
        <v>1</v>
      </c>
      <c r="D237">
        <v>2007</v>
      </c>
      <c r="E237">
        <v>4</v>
      </c>
      <c r="F237">
        <v>3346005</v>
      </c>
      <c r="G237">
        <v>350632016</v>
      </c>
      <c r="H237">
        <v>31251</v>
      </c>
      <c r="I237">
        <v>49575</v>
      </c>
    </row>
    <row r="238" spans="1:9" x14ac:dyDescent="0.2">
      <c r="A238">
        <v>4</v>
      </c>
      <c r="B238">
        <v>99</v>
      </c>
      <c r="C238">
        <v>1</v>
      </c>
      <c r="D238">
        <v>2008</v>
      </c>
      <c r="E238">
        <v>1</v>
      </c>
      <c r="F238">
        <v>3361607</v>
      </c>
      <c r="G238">
        <v>350969413</v>
      </c>
      <c r="H238">
        <v>30742</v>
      </c>
      <c r="I238">
        <v>48107</v>
      </c>
    </row>
    <row r="239" spans="1:9" x14ac:dyDescent="0.2">
      <c r="A239">
        <v>4</v>
      </c>
      <c r="B239">
        <v>99</v>
      </c>
      <c r="C239">
        <v>1</v>
      </c>
      <c r="D239">
        <v>2008</v>
      </c>
      <c r="E239">
        <v>2</v>
      </c>
      <c r="F239">
        <v>3386700</v>
      </c>
      <c r="G239">
        <v>351515739</v>
      </c>
      <c r="H239">
        <v>31712</v>
      </c>
      <c r="I239">
        <v>45646</v>
      </c>
    </row>
    <row r="240" spans="1:9" x14ac:dyDescent="0.2">
      <c r="A240">
        <v>4</v>
      </c>
      <c r="B240">
        <v>99</v>
      </c>
      <c r="C240">
        <v>1</v>
      </c>
      <c r="D240">
        <v>2008</v>
      </c>
      <c r="E240">
        <v>3</v>
      </c>
      <c r="F240">
        <v>3415444</v>
      </c>
      <c r="G240">
        <v>346088955</v>
      </c>
      <c r="H240">
        <v>30894</v>
      </c>
      <c r="I240">
        <v>43948</v>
      </c>
    </row>
    <row r="241" spans="1:9" x14ac:dyDescent="0.2">
      <c r="A241">
        <v>4</v>
      </c>
      <c r="B241">
        <v>99</v>
      </c>
      <c r="C241">
        <v>1</v>
      </c>
      <c r="D241">
        <v>2008</v>
      </c>
      <c r="E241">
        <v>4</v>
      </c>
      <c r="F241">
        <v>3428259</v>
      </c>
      <c r="G241">
        <v>342507052</v>
      </c>
      <c r="H241">
        <v>30113</v>
      </c>
      <c r="I241">
        <v>45283</v>
      </c>
    </row>
    <row r="242" spans="1:9" x14ac:dyDescent="0.2">
      <c r="A242">
        <v>4</v>
      </c>
      <c r="B242">
        <v>99</v>
      </c>
      <c r="C242">
        <v>1</v>
      </c>
      <c r="D242">
        <v>2009</v>
      </c>
      <c r="E242">
        <v>1</v>
      </c>
      <c r="F242">
        <v>3430271</v>
      </c>
      <c r="G242">
        <v>333184134</v>
      </c>
      <c r="H242">
        <v>30183</v>
      </c>
      <c r="I242">
        <v>46836</v>
      </c>
    </row>
    <row r="243" spans="1:9" x14ac:dyDescent="0.2">
      <c r="A243">
        <v>90</v>
      </c>
      <c r="B243">
        <v>99</v>
      </c>
      <c r="C243">
        <v>1</v>
      </c>
      <c r="D243">
        <v>2004</v>
      </c>
      <c r="E243">
        <v>1</v>
      </c>
      <c r="F243">
        <v>19227832</v>
      </c>
      <c r="G243">
        <v>2045946328</v>
      </c>
      <c r="H243">
        <v>219166</v>
      </c>
      <c r="I243">
        <v>309499</v>
      </c>
    </row>
    <row r="244" spans="1:9" x14ac:dyDescent="0.2">
      <c r="A244">
        <v>90</v>
      </c>
      <c r="B244">
        <v>99</v>
      </c>
      <c r="C244">
        <v>1</v>
      </c>
      <c r="D244">
        <v>2004</v>
      </c>
      <c r="E244">
        <v>2</v>
      </c>
      <c r="F244">
        <v>19633870</v>
      </c>
      <c r="G244">
        <v>2135297529</v>
      </c>
      <c r="H244">
        <v>218234</v>
      </c>
      <c r="I244">
        <v>317330</v>
      </c>
    </row>
    <row r="245" spans="1:9" x14ac:dyDescent="0.2">
      <c r="A245">
        <v>90</v>
      </c>
      <c r="B245">
        <v>99</v>
      </c>
      <c r="C245">
        <v>1</v>
      </c>
      <c r="D245">
        <v>2004</v>
      </c>
      <c r="E245">
        <v>3</v>
      </c>
      <c r="F245">
        <v>19778162</v>
      </c>
      <c r="G245">
        <v>2128152079</v>
      </c>
      <c r="H245">
        <v>213993</v>
      </c>
      <c r="I245">
        <v>317484</v>
      </c>
    </row>
    <row r="246" spans="1:9" x14ac:dyDescent="0.2">
      <c r="A246">
        <v>90</v>
      </c>
      <c r="B246">
        <v>99</v>
      </c>
      <c r="C246">
        <v>1</v>
      </c>
      <c r="D246">
        <v>2004</v>
      </c>
      <c r="E246">
        <v>4</v>
      </c>
      <c r="F246">
        <v>19828812</v>
      </c>
      <c r="G246">
        <v>2208973665</v>
      </c>
      <c r="H246">
        <v>219974</v>
      </c>
      <c r="I246">
        <v>325399</v>
      </c>
    </row>
    <row r="247" spans="1:9" x14ac:dyDescent="0.2">
      <c r="A247">
        <v>90</v>
      </c>
      <c r="B247">
        <v>99</v>
      </c>
      <c r="C247">
        <v>1</v>
      </c>
      <c r="D247">
        <v>2005</v>
      </c>
      <c r="E247">
        <v>1</v>
      </c>
      <c r="F247">
        <v>19844082</v>
      </c>
      <c r="G247">
        <v>2077110079</v>
      </c>
      <c r="H247">
        <v>214170</v>
      </c>
      <c r="I247">
        <v>307724</v>
      </c>
    </row>
    <row r="248" spans="1:9" x14ac:dyDescent="0.2">
      <c r="A248">
        <v>90</v>
      </c>
      <c r="B248">
        <v>99</v>
      </c>
      <c r="C248">
        <v>1</v>
      </c>
      <c r="D248">
        <v>2005</v>
      </c>
      <c r="E248">
        <v>2</v>
      </c>
      <c r="F248">
        <v>20100520</v>
      </c>
      <c r="G248">
        <v>2153264592</v>
      </c>
      <c r="H248">
        <v>214179</v>
      </c>
      <c r="I248">
        <v>314339</v>
      </c>
    </row>
    <row r="249" spans="1:9" x14ac:dyDescent="0.2">
      <c r="A249">
        <v>90</v>
      </c>
      <c r="B249">
        <v>99</v>
      </c>
      <c r="C249">
        <v>1</v>
      </c>
      <c r="D249">
        <v>2005</v>
      </c>
      <c r="E249">
        <v>3</v>
      </c>
      <c r="F249">
        <v>20269707</v>
      </c>
      <c r="G249">
        <v>2126193816</v>
      </c>
      <c r="H249">
        <v>208878</v>
      </c>
      <c r="I249">
        <v>304746</v>
      </c>
    </row>
    <row r="250" spans="1:9" x14ac:dyDescent="0.2">
      <c r="A250">
        <v>90</v>
      </c>
      <c r="B250">
        <v>99</v>
      </c>
      <c r="C250">
        <v>1</v>
      </c>
      <c r="D250">
        <v>2005</v>
      </c>
      <c r="E250">
        <v>4</v>
      </c>
      <c r="F250">
        <v>20312920</v>
      </c>
      <c r="G250">
        <v>2144984875</v>
      </c>
      <c r="H250">
        <v>208536</v>
      </c>
      <c r="I250">
        <v>310381</v>
      </c>
    </row>
    <row r="251" spans="1:9" x14ac:dyDescent="0.2">
      <c r="A251">
        <v>90</v>
      </c>
      <c r="B251">
        <v>99</v>
      </c>
      <c r="C251">
        <v>1</v>
      </c>
      <c r="D251">
        <v>2006</v>
      </c>
      <c r="E251">
        <v>1</v>
      </c>
      <c r="F251">
        <v>20304751</v>
      </c>
      <c r="G251">
        <v>2138187060</v>
      </c>
      <c r="H251">
        <v>209772</v>
      </c>
      <c r="I251">
        <v>301083</v>
      </c>
    </row>
    <row r="252" spans="1:9" x14ac:dyDescent="0.2">
      <c r="A252">
        <v>90</v>
      </c>
      <c r="B252">
        <v>99</v>
      </c>
      <c r="C252">
        <v>1</v>
      </c>
      <c r="D252">
        <v>2006</v>
      </c>
      <c r="E252">
        <v>2</v>
      </c>
      <c r="F252">
        <v>20543927</v>
      </c>
      <c r="G252">
        <v>2172479840</v>
      </c>
      <c r="H252">
        <v>208838</v>
      </c>
      <c r="I252">
        <v>297995</v>
      </c>
    </row>
    <row r="253" spans="1:9" x14ac:dyDescent="0.2">
      <c r="A253">
        <v>90</v>
      </c>
      <c r="B253">
        <v>99</v>
      </c>
      <c r="C253">
        <v>1</v>
      </c>
      <c r="D253">
        <v>2006</v>
      </c>
      <c r="E253">
        <v>3</v>
      </c>
      <c r="F253">
        <v>20639682</v>
      </c>
      <c r="G253">
        <v>2165246241</v>
      </c>
      <c r="H253">
        <v>203579</v>
      </c>
      <c r="I253">
        <v>290604</v>
      </c>
    </row>
    <row r="254" spans="1:9" x14ac:dyDescent="0.2">
      <c r="A254">
        <v>90</v>
      </c>
      <c r="B254">
        <v>99</v>
      </c>
      <c r="C254">
        <v>1</v>
      </c>
      <c r="D254">
        <v>2006</v>
      </c>
      <c r="E254">
        <v>4</v>
      </c>
      <c r="F254">
        <v>20612341</v>
      </c>
      <c r="G254">
        <v>2279407556</v>
      </c>
      <c r="H254">
        <v>208991</v>
      </c>
      <c r="I254">
        <v>307788</v>
      </c>
    </row>
    <row r="255" spans="1:9" x14ac:dyDescent="0.2">
      <c r="A255">
        <v>90</v>
      </c>
      <c r="B255">
        <v>99</v>
      </c>
      <c r="C255">
        <v>1</v>
      </c>
      <c r="D255">
        <v>2007</v>
      </c>
      <c r="E255">
        <v>1</v>
      </c>
      <c r="F255">
        <v>20583192</v>
      </c>
      <c r="G255">
        <v>2179522310</v>
      </c>
      <c r="H255">
        <v>203070</v>
      </c>
      <c r="I255">
        <v>289919</v>
      </c>
    </row>
    <row r="256" spans="1:9" x14ac:dyDescent="0.2">
      <c r="A256">
        <v>90</v>
      </c>
      <c r="B256">
        <v>99</v>
      </c>
      <c r="C256">
        <v>1</v>
      </c>
      <c r="D256">
        <v>2007</v>
      </c>
      <c r="E256">
        <v>2</v>
      </c>
      <c r="F256">
        <v>20781869</v>
      </c>
      <c r="G256">
        <v>2221508645</v>
      </c>
      <c r="H256">
        <v>201690</v>
      </c>
      <c r="I256">
        <v>284704</v>
      </c>
    </row>
    <row r="257" spans="1:9" x14ac:dyDescent="0.2">
      <c r="A257">
        <v>90</v>
      </c>
      <c r="B257">
        <v>99</v>
      </c>
      <c r="C257">
        <v>1</v>
      </c>
      <c r="D257">
        <v>2007</v>
      </c>
      <c r="E257">
        <v>3</v>
      </c>
      <c r="F257">
        <v>20844154</v>
      </c>
      <c r="G257">
        <v>2218576164</v>
      </c>
      <c r="H257">
        <v>195873</v>
      </c>
      <c r="I257">
        <v>281516</v>
      </c>
    </row>
    <row r="258" spans="1:9" x14ac:dyDescent="0.2">
      <c r="A258">
        <v>90</v>
      </c>
      <c r="B258">
        <v>99</v>
      </c>
      <c r="C258">
        <v>1</v>
      </c>
      <c r="D258">
        <v>2007</v>
      </c>
      <c r="E258">
        <v>4</v>
      </c>
      <c r="F258">
        <v>20795954</v>
      </c>
      <c r="G258">
        <v>2323750413</v>
      </c>
      <c r="H258">
        <v>200168</v>
      </c>
      <c r="I258">
        <v>293556</v>
      </c>
    </row>
    <row r="259" spans="1:9" x14ac:dyDescent="0.2">
      <c r="A259">
        <v>90</v>
      </c>
      <c r="B259">
        <v>99</v>
      </c>
      <c r="C259">
        <v>1</v>
      </c>
      <c r="D259">
        <v>2008</v>
      </c>
      <c r="E259">
        <v>1</v>
      </c>
      <c r="F259">
        <v>20801062</v>
      </c>
      <c r="G259">
        <v>2222803229</v>
      </c>
      <c r="H259">
        <v>195116</v>
      </c>
      <c r="I259">
        <v>274288</v>
      </c>
    </row>
    <row r="260" spans="1:9" x14ac:dyDescent="0.2">
      <c r="A260">
        <v>90</v>
      </c>
      <c r="B260">
        <v>99</v>
      </c>
      <c r="C260">
        <v>1</v>
      </c>
      <c r="D260">
        <v>2008</v>
      </c>
      <c r="E260">
        <v>2</v>
      </c>
      <c r="F260">
        <v>20967963</v>
      </c>
      <c r="G260">
        <v>2289462668</v>
      </c>
      <c r="H260">
        <v>197619</v>
      </c>
      <c r="I260">
        <v>264781</v>
      </c>
    </row>
    <row r="261" spans="1:9" x14ac:dyDescent="0.2">
      <c r="A261">
        <v>90</v>
      </c>
      <c r="B261">
        <v>99</v>
      </c>
      <c r="C261">
        <v>1</v>
      </c>
      <c r="D261">
        <v>2008</v>
      </c>
      <c r="E261">
        <v>3</v>
      </c>
      <c r="F261">
        <v>21037631</v>
      </c>
      <c r="G261">
        <v>2288642296</v>
      </c>
      <c r="H261">
        <v>190521</v>
      </c>
      <c r="I261">
        <v>255281</v>
      </c>
    </row>
    <row r="262" spans="1:9" x14ac:dyDescent="0.2">
      <c r="A262">
        <v>90</v>
      </c>
      <c r="B262">
        <v>99</v>
      </c>
      <c r="C262">
        <v>1</v>
      </c>
      <c r="D262">
        <v>2008</v>
      </c>
      <c r="E262">
        <v>4</v>
      </c>
      <c r="F262">
        <v>20955362</v>
      </c>
      <c r="G262">
        <v>2391632026</v>
      </c>
      <c r="H262">
        <v>192753</v>
      </c>
      <c r="I262">
        <v>272171</v>
      </c>
    </row>
    <row r="263" spans="1:9" x14ac:dyDescent="0.2">
      <c r="A263">
        <v>90</v>
      </c>
      <c r="B263">
        <v>99</v>
      </c>
      <c r="C263">
        <v>1</v>
      </c>
      <c r="D263">
        <v>2009</v>
      </c>
      <c r="E263">
        <v>1</v>
      </c>
      <c r="F263">
        <v>20867812</v>
      </c>
      <c r="G263">
        <v>2207750931</v>
      </c>
      <c r="H263">
        <v>188775</v>
      </c>
      <c r="I263">
        <v>262605</v>
      </c>
    </row>
    <row r="265" spans="1:9" x14ac:dyDescent="0.2">
      <c r="A265" t="s">
        <v>695</v>
      </c>
    </row>
    <row r="266" spans="1:9" x14ac:dyDescent="0.2">
      <c r="A266" t="s">
        <v>689</v>
      </c>
      <c r="B266" t="s">
        <v>690</v>
      </c>
      <c r="C266" t="s">
        <v>691</v>
      </c>
      <c r="D266" t="s">
        <v>6</v>
      </c>
      <c r="E266" t="s">
        <v>12</v>
      </c>
      <c r="F266" t="s">
        <v>92</v>
      </c>
      <c r="G266" t="s">
        <v>95</v>
      </c>
      <c r="H266" t="s">
        <v>93</v>
      </c>
      <c r="I266" t="s">
        <v>94</v>
      </c>
    </row>
    <row r="267" spans="1:9" x14ac:dyDescent="0.2">
      <c r="A267">
        <v>2</v>
      </c>
      <c r="B267">
        <v>99</v>
      </c>
      <c r="C267">
        <v>4</v>
      </c>
      <c r="D267">
        <v>2004</v>
      </c>
      <c r="E267">
        <v>1</v>
      </c>
      <c r="F267">
        <v>542336</v>
      </c>
      <c r="G267">
        <v>59495373</v>
      </c>
      <c r="H267">
        <v>20040</v>
      </c>
      <c r="I267">
        <v>0</v>
      </c>
    </row>
    <row r="268" spans="1:9" x14ac:dyDescent="0.2">
      <c r="A268">
        <v>2</v>
      </c>
      <c r="B268">
        <v>99</v>
      </c>
      <c r="C268">
        <v>4</v>
      </c>
      <c r="D268">
        <v>2004</v>
      </c>
      <c r="E268">
        <v>2</v>
      </c>
      <c r="F268">
        <v>547971</v>
      </c>
      <c r="G268">
        <v>56666862</v>
      </c>
      <c r="H268">
        <v>19678</v>
      </c>
      <c r="I268">
        <v>0</v>
      </c>
    </row>
    <row r="269" spans="1:9" x14ac:dyDescent="0.2">
      <c r="A269">
        <v>2</v>
      </c>
      <c r="B269">
        <v>99</v>
      </c>
      <c r="C269">
        <v>4</v>
      </c>
      <c r="D269">
        <v>2004</v>
      </c>
      <c r="E269">
        <v>3</v>
      </c>
      <c r="F269">
        <v>552485</v>
      </c>
      <c r="G269">
        <v>56130311</v>
      </c>
      <c r="H269">
        <v>19068</v>
      </c>
      <c r="I269">
        <v>0</v>
      </c>
    </row>
    <row r="270" spans="1:9" x14ac:dyDescent="0.2">
      <c r="A270">
        <v>2</v>
      </c>
      <c r="B270">
        <v>99</v>
      </c>
      <c r="C270">
        <v>4</v>
      </c>
      <c r="D270">
        <v>2004</v>
      </c>
      <c r="E270">
        <v>4</v>
      </c>
      <c r="F270">
        <v>559010</v>
      </c>
      <c r="G270">
        <v>57073037</v>
      </c>
      <c r="H270">
        <v>19466</v>
      </c>
      <c r="I270">
        <v>0</v>
      </c>
    </row>
    <row r="271" spans="1:9" x14ac:dyDescent="0.2">
      <c r="A271">
        <v>2</v>
      </c>
      <c r="B271">
        <v>99</v>
      </c>
      <c r="C271">
        <v>4</v>
      </c>
      <c r="D271">
        <v>2005</v>
      </c>
      <c r="E271">
        <v>1</v>
      </c>
      <c r="F271">
        <v>564445</v>
      </c>
      <c r="G271">
        <v>62765522</v>
      </c>
      <c r="H271">
        <v>21226</v>
      </c>
      <c r="I271">
        <v>0</v>
      </c>
    </row>
    <row r="272" spans="1:9" x14ac:dyDescent="0.2">
      <c r="A272">
        <v>2</v>
      </c>
      <c r="B272">
        <v>99</v>
      </c>
      <c r="C272">
        <v>4</v>
      </c>
      <c r="D272">
        <v>2005</v>
      </c>
      <c r="E272">
        <v>2</v>
      </c>
      <c r="F272">
        <v>572258</v>
      </c>
      <c r="G272">
        <v>61439962</v>
      </c>
      <c r="H272">
        <v>20694</v>
      </c>
      <c r="I272">
        <v>0</v>
      </c>
    </row>
    <row r="273" spans="1:9" x14ac:dyDescent="0.2">
      <c r="A273">
        <v>2</v>
      </c>
      <c r="B273">
        <v>99</v>
      </c>
      <c r="C273">
        <v>4</v>
      </c>
      <c r="D273">
        <v>2005</v>
      </c>
      <c r="E273">
        <v>3</v>
      </c>
      <c r="F273">
        <v>579496</v>
      </c>
      <c r="G273">
        <v>61447885</v>
      </c>
      <c r="H273">
        <v>20412</v>
      </c>
      <c r="I273">
        <v>0</v>
      </c>
    </row>
    <row r="274" spans="1:9" x14ac:dyDescent="0.2">
      <c r="A274">
        <v>2</v>
      </c>
      <c r="B274">
        <v>99</v>
      </c>
      <c r="C274">
        <v>4</v>
      </c>
      <c r="D274">
        <v>2005</v>
      </c>
      <c r="E274">
        <v>4</v>
      </c>
      <c r="F274">
        <v>586424</v>
      </c>
      <c r="G274">
        <v>62039075</v>
      </c>
      <c r="H274">
        <v>19588</v>
      </c>
      <c r="I274">
        <v>0</v>
      </c>
    </row>
    <row r="275" spans="1:9" x14ac:dyDescent="0.2">
      <c r="A275">
        <v>2</v>
      </c>
      <c r="B275">
        <v>99</v>
      </c>
      <c r="C275">
        <v>4</v>
      </c>
      <c r="D275">
        <v>2006</v>
      </c>
      <c r="E275">
        <v>1</v>
      </c>
      <c r="F275">
        <v>588594</v>
      </c>
      <c r="G275">
        <v>66070963</v>
      </c>
      <c r="H275">
        <v>21145</v>
      </c>
      <c r="I275">
        <v>0</v>
      </c>
    </row>
    <row r="276" spans="1:9" x14ac:dyDescent="0.2">
      <c r="A276">
        <v>2</v>
      </c>
      <c r="B276">
        <v>99</v>
      </c>
      <c r="C276">
        <v>4</v>
      </c>
      <c r="D276">
        <v>2006</v>
      </c>
      <c r="E276">
        <v>2</v>
      </c>
      <c r="F276">
        <v>593745</v>
      </c>
      <c r="G276">
        <v>66721340</v>
      </c>
      <c r="H276">
        <v>20687</v>
      </c>
      <c r="I276">
        <v>0</v>
      </c>
    </row>
    <row r="277" spans="1:9" x14ac:dyDescent="0.2">
      <c r="A277">
        <v>2</v>
      </c>
      <c r="B277">
        <v>99</v>
      </c>
      <c r="C277">
        <v>4</v>
      </c>
      <c r="D277">
        <v>2006</v>
      </c>
      <c r="E277">
        <v>3</v>
      </c>
      <c r="F277">
        <v>594860</v>
      </c>
      <c r="G277">
        <v>61477302</v>
      </c>
      <c r="H277">
        <v>19264</v>
      </c>
      <c r="I277">
        <v>0</v>
      </c>
    </row>
    <row r="278" spans="1:9" x14ac:dyDescent="0.2">
      <c r="A278">
        <v>2</v>
      </c>
      <c r="B278">
        <v>99</v>
      </c>
      <c r="C278">
        <v>4</v>
      </c>
      <c r="D278">
        <v>2006</v>
      </c>
      <c r="E278">
        <v>4</v>
      </c>
      <c r="F278">
        <v>597673</v>
      </c>
      <c r="G278">
        <v>66056030</v>
      </c>
      <c r="H278">
        <v>20356</v>
      </c>
      <c r="I278">
        <v>0</v>
      </c>
    </row>
    <row r="279" spans="1:9" x14ac:dyDescent="0.2">
      <c r="A279">
        <v>2</v>
      </c>
      <c r="B279">
        <v>99</v>
      </c>
      <c r="C279">
        <v>4</v>
      </c>
      <c r="D279">
        <v>2007</v>
      </c>
      <c r="E279">
        <v>1</v>
      </c>
      <c r="F279">
        <v>597015</v>
      </c>
      <c r="G279">
        <v>69711322</v>
      </c>
      <c r="H279">
        <v>21707</v>
      </c>
      <c r="I279">
        <v>0</v>
      </c>
    </row>
    <row r="280" spans="1:9" x14ac:dyDescent="0.2">
      <c r="A280">
        <v>2</v>
      </c>
      <c r="B280">
        <v>99</v>
      </c>
      <c r="C280">
        <v>4</v>
      </c>
      <c r="D280">
        <v>2007</v>
      </c>
      <c r="E280">
        <v>2</v>
      </c>
      <c r="F280">
        <v>599681</v>
      </c>
      <c r="G280">
        <v>71055736</v>
      </c>
      <c r="H280">
        <v>21453</v>
      </c>
      <c r="I280">
        <v>0</v>
      </c>
    </row>
    <row r="281" spans="1:9" x14ac:dyDescent="0.2">
      <c r="A281">
        <v>2</v>
      </c>
      <c r="B281">
        <v>99</v>
      </c>
      <c r="C281">
        <v>4</v>
      </c>
      <c r="D281">
        <v>2007</v>
      </c>
      <c r="E281">
        <v>3</v>
      </c>
      <c r="F281">
        <v>598238</v>
      </c>
      <c r="G281">
        <v>64927182</v>
      </c>
      <c r="H281">
        <v>20078</v>
      </c>
      <c r="I281">
        <v>0</v>
      </c>
    </row>
    <row r="282" spans="1:9" x14ac:dyDescent="0.2">
      <c r="A282">
        <v>2</v>
      </c>
      <c r="B282">
        <v>99</v>
      </c>
      <c r="C282">
        <v>4</v>
      </c>
      <c r="D282">
        <v>2007</v>
      </c>
      <c r="E282">
        <v>4</v>
      </c>
      <c r="F282">
        <v>599002</v>
      </c>
      <c r="G282">
        <v>67626698</v>
      </c>
      <c r="H282">
        <v>20823</v>
      </c>
      <c r="I282">
        <v>0</v>
      </c>
    </row>
    <row r="283" spans="1:9" x14ac:dyDescent="0.2">
      <c r="A283">
        <v>2</v>
      </c>
      <c r="B283">
        <v>99</v>
      </c>
      <c r="C283">
        <v>4</v>
      </c>
      <c r="D283">
        <v>2008</v>
      </c>
      <c r="E283">
        <v>1</v>
      </c>
      <c r="F283">
        <v>598531</v>
      </c>
      <c r="G283">
        <v>69820148</v>
      </c>
      <c r="H283">
        <v>21151</v>
      </c>
      <c r="I283">
        <v>0</v>
      </c>
    </row>
    <row r="284" spans="1:9" x14ac:dyDescent="0.2">
      <c r="A284">
        <v>2</v>
      </c>
      <c r="B284">
        <v>99</v>
      </c>
      <c r="C284">
        <v>4</v>
      </c>
      <c r="D284">
        <v>2008</v>
      </c>
      <c r="E284">
        <v>2</v>
      </c>
      <c r="F284">
        <v>598403</v>
      </c>
      <c r="G284">
        <v>65787690</v>
      </c>
      <c r="H284">
        <v>20569</v>
      </c>
      <c r="I284">
        <v>0</v>
      </c>
    </row>
    <row r="285" spans="1:9" x14ac:dyDescent="0.2">
      <c r="A285">
        <v>2</v>
      </c>
      <c r="B285">
        <v>99</v>
      </c>
      <c r="C285">
        <v>4</v>
      </c>
      <c r="D285">
        <v>2008</v>
      </c>
      <c r="E285">
        <v>3</v>
      </c>
      <c r="F285">
        <v>594301</v>
      </c>
      <c r="G285">
        <v>60789308</v>
      </c>
      <c r="H285">
        <v>18512</v>
      </c>
      <c r="I285">
        <v>0</v>
      </c>
    </row>
    <row r="286" spans="1:9" x14ac:dyDescent="0.2">
      <c r="A286">
        <v>2</v>
      </c>
      <c r="B286">
        <v>99</v>
      </c>
      <c r="C286">
        <v>4</v>
      </c>
      <c r="D286">
        <v>2008</v>
      </c>
      <c r="E286">
        <v>4</v>
      </c>
      <c r="F286">
        <v>591264</v>
      </c>
      <c r="G286">
        <v>58935104</v>
      </c>
      <c r="H286">
        <v>18189</v>
      </c>
      <c r="I286">
        <v>0</v>
      </c>
    </row>
    <row r="287" spans="1:9" x14ac:dyDescent="0.2">
      <c r="A287">
        <v>2</v>
      </c>
      <c r="B287">
        <v>99</v>
      </c>
      <c r="C287">
        <v>4</v>
      </c>
      <c r="D287">
        <v>2009</v>
      </c>
      <c r="E287">
        <v>1</v>
      </c>
      <c r="F287">
        <v>588193</v>
      </c>
      <c r="G287">
        <v>59404771</v>
      </c>
      <c r="H287">
        <v>18786</v>
      </c>
      <c r="I287">
        <v>0</v>
      </c>
    </row>
    <row r="288" spans="1:9" x14ac:dyDescent="0.2">
      <c r="A288">
        <v>4</v>
      </c>
      <c r="B288">
        <v>99</v>
      </c>
      <c r="C288">
        <v>4</v>
      </c>
      <c r="D288">
        <v>2004</v>
      </c>
      <c r="E288">
        <v>1</v>
      </c>
      <c r="F288">
        <v>3032084</v>
      </c>
      <c r="G288">
        <v>340179045</v>
      </c>
      <c r="H288">
        <v>129938</v>
      </c>
      <c r="I288">
        <v>0</v>
      </c>
    </row>
    <row r="289" spans="1:9" x14ac:dyDescent="0.2">
      <c r="A289">
        <v>4</v>
      </c>
      <c r="B289">
        <v>99</v>
      </c>
      <c r="C289">
        <v>4</v>
      </c>
      <c r="D289">
        <v>2004</v>
      </c>
      <c r="E289">
        <v>2</v>
      </c>
      <c r="F289">
        <v>3048445</v>
      </c>
      <c r="G289">
        <v>323536185</v>
      </c>
      <c r="H289">
        <v>124355</v>
      </c>
      <c r="I289">
        <v>0</v>
      </c>
    </row>
    <row r="290" spans="1:9" x14ac:dyDescent="0.2">
      <c r="A290">
        <v>4</v>
      </c>
      <c r="B290">
        <v>99</v>
      </c>
      <c r="C290">
        <v>4</v>
      </c>
      <c r="D290">
        <v>2004</v>
      </c>
      <c r="E290">
        <v>3</v>
      </c>
      <c r="F290">
        <v>3067150</v>
      </c>
      <c r="G290">
        <v>319615876</v>
      </c>
      <c r="H290">
        <v>121359</v>
      </c>
      <c r="I290">
        <v>0</v>
      </c>
    </row>
    <row r="291" spans="1:9" x14ac:dyDescent="0.2">
      <c r="A291">
        <v>4</v>
      </c>
      <c r="B291">
        <v>99</v>
      </c>
      <c r="C291">
        <v>4</v>
      </c>
      <c r="D291">
        <v>2004</v>
      </c>
      <c r="E291">
        <v>4</v>
      </c>
      <c r="F291">
        <v>3080037</v>
      </c>
      <c r="G291">
        <v>316563889</v>
      </c>
      <c r="H291">
        <v>120737</v>
      </c>
      <c r="I291">
        <v>0</v>
      </c>
    </row>
    <row r="292" spans="1:9" x14ac:dyDescent="0.2">
      <c r="A292">
        <v>4</v>
      </c>
      <c r="B292">
        <v>99</v>
      </c>
      <c r="C292">
        <v>4</v>
      </c>
      <c r="D292">
        <v>2005</v>
      </c>
      <c r="E292">
        <v>1</v>
      </c>
      <c r="F292">
        <v>3081971</v>
      </c>
      <c r="G292">
        <v>334937054</v>
      </c>
      <c r="H292">
        <v>125977</v>
      </c>
      <c r="I292">
        <v>0</v>
      </c>
    </row>
    <row r="293" spans="1:9" x14ac:dyDescent="0.2">
      <c r="A293">
        <v>4</v>
      </c>
      <c r="B293">
        <v>99</v>
      </c>
      <c r="C293">
        <v>4</v>
      </c>
      <c r="D293">
        <v>2005</v>
      </c>
      <c r="E293">
        <v>2</v>
      </c>
      <c r="F293">
        <v>3112330</v>
      </c>
      <c r="G293">
        <v>336245986</v>
      </c>
      <c r="H293">
        <v>126212</v>
      </c>
      <c r="I293">
        <v>0</v>
      </c>
    </row>
    <row r="294" spans="1:9" x14ac:dyDescent="0.2">
      <c r="A294">
        <v>4</v>
      </c>
      <c r="B294">
        <v>99</v>
      </c>
      <c r="C294">
        <v>4</v>
      </c>
      <c r="D294">
        <v>2005</v>
      </c>
      <c r="E294">
        <v>3</v>
      </c>
      <c r="F294">
        <v>3138240</v>
      </c>
      <c r="G294">
        <v>332450495</v>
      </c>
      <c r="H294">
        <v>124553</v>
      </c>
      <c r="I294">
        <v>0</v>
      </c>
    </row>
    <row r="295" spans="1:9" x14ac:dyDescent="0.2">
      <c r="A295">
        <v>4</v>
      </c>
      <c r="B295">
        <v>99</v>
      </c>
      <c r="C295">
        <v>4</v>
      </c>
      <c r="D295">
        <v>2005</v>
      </c>
      <c r="E295">
        <v>4</v>
      </c>
      <c r="F295">
        <v>3153499</v>
      </c>
      <c r="G295">
        <v>335960873</v>
      </c>
      <c r="H295">
        <v>123170</v>
      </c>
      <c r="I295">
        <v>0</v>
      </c>
    </row>
    <row r="296" spans="1:9" x14ac:dyDescent="0.2">
      <c r="A296">
        <v>4</v>
      </c>
      <c r="B296">
        <v>99</v>
      </c>
      <c r="C296">
        <v>4</v>
      </c>
      <c r="D296">
        <v>2006</v>
      </c>
      <c r="E296">
        <v>1</v>
      </c>
      <c r="F296">
        <v>3157936</v>
      </c>
      <c r="G296">
        <v>346094496</v>
      </c>
      <c r="H296">
        <v>126479</v>
      </c>
      <c r="I296">
        <v>0</v>
      </c>
    </row>
    <row r="297" spans="1:9" x14ac:dyDescent="0.2">
      <c r="A297">
        <v>4</v>
      </c>
      <c r="B297">
        <v>99</v>
      </c>
      <c r="C297">
        <v>4</v>
      </c>
      <c r="D297">
        <v>2006</v>
      </c>
      <c r="E297">
        <v>2</v>
      </c>
      <c r="F297">
        <v>3193959</v>
      </c>
      <c r="G297">
        <v>346128221</v>
      </c>
      <c r="H297">
        <v>124427</v>
      </c>
      <c r="I297">
        <v>0</v>
      </c>
    </row>
    <row r="298" spans="1:9" x14ac:dyDescent="0.2">
      <c r="A298">
        <v>4</v>
      </c>
      <c r="B298">
        <v>99</v>
      </c>
      <c r="C298">
        <v>4</v>
      </c>
      <c r="D298">
        <v>2006</v>
      </c>
      <c r="E298">
        <v>3</v>
      </c>
      <c r="F298">
        <v>3219368</v>
      </c>
      <c r="G298">
        <v>336143255</v>
      </c>
      <c r="H298">
        <v>121286</v>
      </c>
      <c r="I298">
        <v>0</v>
      </c>
    </row>
    <row r="299" spans="1:9" x14ac:dyDescent="0.2">
      <c r="A299">
        <v>4</v>
      </c>
      <c r="B299">
        <v>99</v>
      </c>
      <c r="C299">
        <v>4</v>
      </c>
      <c r="D299">
        <v>2006</v>
      </c>
      <c r="E299">
        <v>4</v>
      </c>
      <c r="F299">
        <v>3238257</v>
      </c>
      <c r="G299">
        <v>340145742</v>
      </c>
      <c r="H299">
        <v>122357</v>
      </c>
      <c r="I299">
        <v>0</v>
      </c>
    </row>
    <row r="300" spans="1:9" x14ac:dyDescent="0.2">
      <c r="A300">
        <v>4</v>
      </c>
      <c r="B300">
        <v>99</v>
      </c>
      <c r="C300">
        <v>4</v>
      </c>
      <c r="D300">
        <v>2007</v>
      </c>
      <c r="E300">
        <v>1</v>
      </c>
      <c r="F300">
        <v>3260485</v>
      </c>
      <c r="G300">
        <v>360828556</v>
      </c>
      <c r="H300">
        <v>128064</v>
      </c>
      <c r="I300">
        <v>0</v>
      </c>
    </row>
    <row r="301" spans="1:9" x14ac:dyDescent="0.2">
      <c r="A301">
        <v>4</v>
      </c>
      <c r="B301">
        <v>99</v>
      </c>
      <c r="C301">
        <v>4</v>
      </c>
      <c r="D301">
        <v>2007</v>
      </c>
      <c r="E301">
        <v>2</v>
      </c>
      <c r="F301">
        <v>3310992</v>
      </c>
      <c r="G301">
        <v>367879792</v>
      </c>
      <c r="H301">
        <v>127123</v>
      </c>
      <c r="I301">
        <v>0</v>
      </c>
    </row>
    <row r="302" spans="1:9" x14ac:dyDescent="0.2">
      <c r="A302">
        <v>4</v>
      </c>
      <c r="B302">
        <v>99</v>
      </c>
      <c r="C302">
        <v>4</v>
      </c>
      <c r="D302">
        <v>2007</v>
      </c>
      <c r="E302">
        <v>3</v>
      </c>
      <c r="F302">
        <v>3341472</v>
      </c>
      <c r="G302">
        <v>357579691</v>
      </c>
      <c r="H302">
        <v>126335</v>
      </c>
      <c r="I302">
        <v>0</v>
      </c>
    </row>
    <row r="303" spans="1:9" x14ac:dyDescent="0.2">
      <c r="A303">
        <v>4</v>
      </c>
      <c r="B303">
        <v>99</v>
      </c>
      <c r="C303">
        <v>4</v>
      </c>
      <c r="D303">
        <v>2007</v>
      </c>
      <c r="E303">
        <v>4</v>
      </c>
      <c r="F303">
        <v>3346005</v>
      </c>
      <c r="G303">
        <v>368271659</v>
      </c>
      <c r="H303">
        <v>130300</v>
      </c>
      <c r="I303">
        <v>0</v>
      </c>
    </row>
    <row r="304" spans="1:9" x14ac:dyDescent="0.2">
      <c r="A304">
        <v>4</v>
      </c>
      <c r="B304">
        <v>99</v>
      </c>
      <c r="C304">
        <v>4</v>
      </c>
      <c r="D304">
        <v>2008</v>
      </c>
      <c r="E304">
        <v>1</v>
      </c>
      <c r="F304">
        <v>3361607</v>
      </c>
      <c r="G304">
        <v>381893933</v>
      </c>
      <c r="H304">
        <v>131896</v>
      </c>
      <c r="I304">
        <v>0</v>
      </c>
    </row>
    <row r="305" spans="1:9" x14ac:dyDescent="0.2">
      <c r="A305">
        <v>4</v>
      </c>
      <c r="B305">
        <v>99</v>
      </c>
      <c r="C305">
        <v>4</v>
      </c>
      <c r="D305">
        <v>2008</v>
      </c>
      <c r="E305">
        <v>2</v>
      </c>
      <c r="F305">
        <v>3386700</v>
      </c>
      <c r="G305">
        <v>380042763</v>
      </c>
      <c r="H305">
        <v>132103</v>
      </c>
      <c r="I305">
        <v>0</v>
      </c>
    </row>
    <row r="306" spans="1:9" x14ac:dyDescent="0.2">
      <c r="A306">
        <v>4</v>
      </c>
      <c r="B306">
        <v>99</v>
      </c>
      <c r="C306">
        <v>4</v>
      </c>
      <c r="D306">
        <v>2008</v>
      </c>
      <c r="E306">
        <v>3</v>
      </c>
      <c r="F306">
        <v>3415444</v>
      </c>
      <c r="G306">
        <v>361033941</v>
      </c>
      <c r="H306">
        <v>126010</v>
      </c>
      <c r="I306">
        <v>0</v>
      </c>
    </row>
    <row r="307" spans="1:9" x14ac:dyDescent="0.2">
      <c r="A307">
        <v>4</v>
      </c>
      <c r="B307">
        <v>99</v>
      </c>
      <c r="C307">
        <v>4</v>
      </c>
      <c r="D307">
        <v>2008</v>
      </c>
      <c r="E307">
        <v>4</v>
      </c>
      <c r="F307">
        <v>3428259</v>
      </c>
      <c r="G307">
        <v>347709701</v>
      </c>
      <c r="H307">
        <v>121786</v>
      </c>
      <c r="I307">
        <v>0</v>
      </c>
    </row>
    <row r="308" spans="1:9" x14ac:dyDescent="0.2">
      <c r="A308">
        <v>4</v>
      </c>
      <c r="B308">
        <v>99</v>
      </c>
      <c r="C308">
        <v>4</v>
      </c>
      <c r="D308">
        <v>2009</v>
      </c>
      <c r="E308">
        <v>1</v>
      </c>
      <c r="F308">
        <v>3430271</v>
      </c>
      <c r="G308">
        <v>373723877</v>
      </c>
      <c r="H308">
        <v>129255</v>
      </c>
      <c r="I308">
        <v>0</v>
      </c>
    </row>
    <row r="309" spans="1:9" x14ac:dyDescent="0.2">
      <c r="A309">
        <v>90</v>
      </c>
      <c r="B309">
        <v>99</v>
      </c>
      <c r="C309">
        <v>4</v>
      </c>
      <c r="D309">
        <v>2004</v>
      </c>
      <c r="E309">
        <v>1</v>
      </c>
      <c r="F309">
        <v>26708071</v>
      </c>
      <c r="G309">
        <v>2666874503</v>
      </c>
      <c r="H309">
        <v>1074883</v>
      </c>
      <c r="I309">
        <v>0</v>
      </c>
    </row>
    <row r="310" spans="1:9" x14ac:dyDescent="0.2">
      <c r="A310">
        <v>90</v>
      </c>
      <c r="B310">
        <v>99</v>
      </c>
      <c r="C310">
        <v>4</v>
      </c>
      <c r="D310">
        <v>2004</v>
      </c>
      <c r="E310">
        <v>2</v>
      </c>
      <c r="F310">
        <v>27246180</v>
      </c>
      <c r="G310">
        <v>2480238055</v>
      </c>
      <c r="H310">
        <v>1004991</v>
      </c>
      <c r="I310">
        <v>0</v>
      </c>
    </row>
    <row r="311" spans="1:9" x14ac:dyDescent="0.2">
      <c r="A311">
        <v>90</v>
      </c>
      <c r="B311">
        <v>99</v>
      </c>
      <c r="C311">
        <v>4</v>
      </c>
      <c r="D311">
        <v>2004</v>
      </c>
      <c r="E311">
        <v>3</v>
      </c>
      <c r="F311">
        <v>27443885</v>
      </c>
      <c r="G311">
        <v>2507703958</v>
      </c>
      <c r="H311">
        <v>1002434</v>
      </c>
      <c r="I311">
        <v>0</v>
      </c>
    </row>
    <row r="312" spans="1:9" x14ac:dyDescent="0.2">
      <c r="A312">
        <v>90</v>
      </c>
      <c r="B312">
        <v>99</v>
      </c>
      <c r="C312">
        <v>4</v>
      </c>
      <c r="D312">
        <v>2004</v>
      </c>
      <c r="E312">
        <v>4</v>
      </c>
      <c r="F312">
        <v>27457077</v>
      </c>
      <c r="G312">
        <v>2548028902</v>
      </c>
      <c r="H312">
        <v>1004390</v>
      </c>
      <c r="I312">
        <v>0</v>
      </c>
    </row>
    <row r="313" spans="1:9" x14ac:dyDescent="0.2">
      <c r="A313">
        <v>90</v>
      </c>
      <c r="B313">
        <v>99</v>
      </c>
      <c r="C313">
        <v>4</v>
      </c>
      <c r="D313">
        <v>2005</v>
      </c>
      <c r="E313">
        <v>1</v>
      </c>
      <c r="F313">
        <v>27462039</v>
      </c>
      <c r="G313">
        <v>2719705203</v>
      </c>
      <c r="H313">
        <v>1073391</v>
      </c>
      <c r="I313">
        <v>0</v>
      </c>
    </row>
    <row r="314" spans="1:9" x14ac:dyDescent="0.2">
      <c r="A314">
        <v>90</v>
      </c>
      <c r="B314">
        <v>99</v>
      </c>
      <c r="C314">
        <v>4</v>
      </c>
      <c r="D314">
        <v>2005</v>
      </c>
      <c r="E314">
        <v>2</v>
      </c>
      <c r="F314">
        <v>27836428</v>
      </c>
      <c r="G314">
        <v>2612421623</v>
      </c>
      <c r="H314">
        <v>1030031</v>
      </c>
      <c r="I314">
        <v>0</v>
      </c>
    </row>
    <row r="315" spans="1:9" x14ac:dyDescent="0.2">
      <c r="A315">
        <v>90</v>
      </c>
      <c r="B315">
        <v>99</v>
      </c>
      <c r="C315">
        <v>4</v>
      </c>
      <c r="D315">
        <v>2005</v>
      </c>
      <c r="E315">
        <v>3</v>
      </c>
      <c r="F315">
        <v>28058617</v>
      </c>
      <c r="G315">
        <v>2639717019</v>
      </c>
      <c r="H315">
        <v>1026407</v>
      </c>
      <c r="I315">
        <v>0</v>
      </c>
    </row>
    <row r="316" spans="1:9" x14ac:dyDescent="0.2">
      <c r="A316">
        <v>90</v>
      </c>
      <c r="B316">
        <v>99</v>
      </c>
      <c r="C316">
        <v>4</v>
      </c>
      <c r="D316">
        <v>2005</v>
      </c>
      <c r="E316">
        <v>4</v>
      </c>
      <c r="F316">
        <v>28056932</v>
      </c>
      <c r="G316">
        <v>2597418201</v>
      </c>
      <c r="H316">
        <v>986873</v>
      </c>
      <c r="I316">
        <v>0</v>
      </c>
    </row>
    <row r="317" spans="1:9" x14ac:dyDescent="0.2">
      <c r="A317">
        <v>90</v>
      </c>
      <c r="B317">
        <v>99</v>
      </c>
      <c r="C317">
        <v>4</v>
      </c>
      <c r="D317">
        <v>2006</v>
      </c>
      <c r="E317">
        <v>1</v>
      </c>
      <c r="F317">
        <v>28039694</v>
      </c>
      <c r="G317">
        <v>2794668092</v>
      </c>
      <c r="H317">
        <v>1056890</v>
      </c>
      <c r="I317">
        <v>0</v>
      </c>
    </row>
    <row r="318" spans="1:9" x14ac:dyDescent="0.2">
      <c r="A318">
        <v>90</v>
      </c>
      <c r="B318">
        <v>99</v>
      </c>
      <c r="C318">
        <v>4</v>
      </c>
      <c r="D318">
        <v>2006</v>
      </c>
      <c r="E318">
        <v>2</v>
      </c>
      <c r="F318">
        <v>28419330</v>
      </c>
      <c r="G318">
        <v>2627747676</v>
      </c>
      <c r="H318">
        <v>996229</v>
      </c>
      <c r="I318">
        <v>0</v>
      </c>
    </row>
    <row r="319" spans="1:9" x14ac:dyDescent="0.2">
      <c r="A319">
        <v>90</v>
      </c>
      <c r="B319">
        <v>99</v>
      </c>
      <c r="C319">
        <v>4</v>
      </c>
      <c r="D319">
        <v>2006</v>
      </c>
      <c r="E319">
        <v>3</v>
      </c>
      <c r="F319">
        <v>28557599</v>
      </c>
      <c r="G319">
        <v>2622843867</v>
      </c>
      <c r="H319">
        <v>985748</v>
      </c>
      <c r="I319">
        <v>0</v>
      </c>
    </row>
    <row r="320" spans="1:9" x14ac:dyDescent="0.2">
      <c r="A320">
        <v>90</v>
      </c>
      <c r="B320">
        <v>99</v>
      </c>
      <c r="C320">
        <v>4</v>
      </c>
      <c r="D320">
        <v>2006</v>
      </c>
      <c r="E320">
        <v>4</v>
      </c>
      <c r="F320">
        <v>28481915</v>
      </c>
      <c r="G320">
        <v>2726187612</v>
      </c>
      <c r="H320">
        <v>1008531</v>
      </c>
      <c r="I320">
        <v>0</v>
      </c>
    </row>
    <row r="321" spans="1:9" x14ac:dyDescent="0.2">
      <c r="A321">
        <v>90</v>
      </c>
      <c r="B321">
        <v>99</v>
      </c>
      <c r="C321">
        <v>4</v>
      </c>
      <c r="D321">
        <v>2007</v>
      </c>
      <c r="E321">
        <v>1</v>
      </c>
      <c r="F321">
        <v>28451175</v>
      </c>
      <c r="G321">
        <v>2881809921</v>
      </c>
      <c r="H321">
        <v>1060951</v>
      </c>
      <c r="I321">
        <v>0</v>
      </c>
    </row>
    <row r="322" spans="1:9" x14ac:dyDescent="0.2">
      <c r="A322">
        <v>90</v>
      </c>
      <c r="B322">
        <v>99</v>
      </c>
      <c r="C322">
        <v>4</v>
      </c>
      <c r="D322">
        <v>2007</v>
      </c>
      <c r="E322">
        <v>2</v>
      </c>
      <c r="F322">
        <v>28780716</v>
      </c>
      <c r="G322">
        <v>2765131453</v>
      </c>
      <c r="H322">
        <v>1027269</v>
      </c>
      <c r="I322">
        <v>0</v>
      </c>
    </row>
    <row r="323" spans="1:9" x14ac:dyDescent="0.2">
      <c r="A323">
        <v>90</v>
      </c>
      <c r="B323">
        <v>99</v>
      </c>
      <c r="C323">
        <v>4</v>
      </c>
      <c r="D323">
        <v>2007</v>
      </c>
      <c r="E323">
        <v>3</v>
      </c>
      <c r="F323">
        <v>28877225</v>
      </c>
      <c r="G323">
        <v>2743147502</v>
      </c>
      <c r="H323">
        <v>1006279</v>
      </c>
      <c r="I323">
        <v>0</v>
      </c>
    </row>
    <row r="324" spans="1:9" x14ac:dyDescent="0.2">
      <c r="A324">
        <v>90</v>
      </c>
      <c r="B324">
        <v>99</v>
      </c>
      <c r="C324">
        <v>4</v>
      </c>
      <c r="D324">
        <v>2007</v>
      </c>
      <c r="E324">
        <v>4</v>
      </c>
      <c r="F324">
        <v>28751030</v>
      </c>
      <c r="G324">
        <v>2824720233</v>
      </c>
      <c r="H324">
        <v>1031094</v>
      </c>
      <c r="I324">
        <v>0</v>
      </c>
    </row>
    <row r="325" spans="1:9" x14ac:dyDescent="0.2">
      <c r="A325">
        <v>90</v>
      </c>
      <c r="B325">
        <v>99</v>
      </c>
      <c r="C325">
        <v>4</v>
      </c>
      <c r="D325">
        <v>2008</v>
      </c>
      <c r="E325">
        <v>1</v>
      </c>
      <c r="F325">
        <v>28790414</v>
      </c>
      <c r="G325">
        <v>2964152673</v>
      </c>
      <c r="H325">
        <v>1066954</v>
      </c>
      <c r="I325">
        <v>0</v>
      </c>
    </row>
    <row r="326" spans="1:9" x14ac:dyDescent="0.2">
      <c r="A326">
        <v>90</v>
      </c>
      <c r="B326">
        <v>99</v>
      </c>
      <c r="C326">
        <v>4</v>
      </c>
      <c r="D326">
        <v>2008</v>
      </c>
      <c r="E326">
        <v>2</v>
      </c>
      <c r="F326">
        <v>29081715</v>
      </c>
      <c r="G326">
        <v>2781195429</v>
      </c>
      <c r="H326">
        <v>1012299</v>
      </c>
      <c r="I326">
        <v>0</v>
      </c>
    </row>
    <row r="327" spans="1:9" x14ac:dyDescent="0.2">
      <c r="A327">
        <v>90</v>
      </c>
      <c r="B327">
        <v>99</v>
      </c>
      <c r="C327">
        <v>4</v>
      </c>
      <c r="D327">
        <v>2008</v>
      </c>
      <c r="E327">
        <v>3</v>
      </c>
      <c r="F327">
        <v>29179545</v>
      </c>
      <c r="G327">
        <v>2707582894</v>
      </c>
      <c r="H327">
        <v>979033</v>
      </c>
      <c r="I327">
        <v>0</v>
      </c>
    </row>
    <row r="328" spans="1:9" x14ac:dyDescent="0.2">
      <c r="A328">
        <v>90</v>
      </c>
      <c r="B328">
        <v>99</v>
      </c>
      <c r="C328">
        <v>4</v>
      </c>
      <c r="D328">
        <v>2008</v>
      </c>
      <c r="E328">
        <v>4</v>
      </c>
      <c r="F328">
        <v>29032156</v>
      </c>
      <c r="G328">
        <v>2717652466</v>
      </c>
      <c r="H328">
        <v>968912</v>
      </c>
      <c r="I328">
        <v>0</v>
      </c>
    </row>
    <row r="329" spans="1:9" x14ac:dyDescent="0.2">
      <c r="A329">
        <v>90</v>
      </c>
      <c r="B329">
        <v>99</v>
      </c>
      <c r="C329">
        <v>4</v>
      </c>
      <c r="D329">
        <v>2009</v>
      </c>
      <c r="E329">
        <v>1</v>
      </c>
      <c r="F329">
        <v>28903005</v>
      </c>
      <c r="G329">
        <v>2931421599</v>
      </c>
      <c r="H329">
        <v>1053824</v>
      </c>
      <c r="I329">
        <v>0</v>
      </c>
    </row>
    <row r="331" spans="1:9" x14ac:dyDescent="0.2">
      <c r="A331" t="s">
        <v>696</v>
      </c>
    </row>
    <row r="332" spans="1:9" x14ac:dyDescent="0.2">
      <c r="A332" t="s">
        <v>689</v>
      </c>
      <c r="B332" t="s">
        <v>690</v>
      </c>
      <c r="C332" t="s">
        <v>691</v>
      </c>
      <c r="D332" t="s">
        <v>6</v>
      </c>
      <c r="E332" t="s">
        <v>12</v>
      </c>
      <c r="F332" t="s">
        <v>92</v>
      </c>
      <c r="G332" t="s">
        <v>95</v>
      </c>
      <c r="H332" t="s">
        <v>93</v>
      </c>
      <c r="I332" t="s">
        <v>94</v>
      </c>
    </row>
    <row r="333" spans="1:9" x14ac:dyDescent="0.2">
      <c r="A333">
        <v>2</v>
      </c>
      <c r="B333">
        <v>99</v>
      </c>
      <c r="C333">
        <v>10</v>
      </c>
      <c r="D333">
        <v>2004</v>
      </c>
      <c r="E333">
        <v>1</v>
      </c>
      <c r="F333">
        <v>451535</v>
      </c>
      <c r="G333">
        <v>54801862</v>
      </c>
      <c r="H333">
        <v>84647</v>
      </c>
      <c r="I333">
        <v>0</v>
      </c>
    </row>
    <row r="334" spans="1:9" x14ac:dyDescent="0.2">
      <c r="A334">
        <v>2</v>
      </c>
      <c r="B334">
        <v>99</v>
      </c>
      <c r="C334">
        <v>10</v>
      </c>
      <c r="D334">
        <v>2004</v>
      </c>
      <c r="E334">
        <v>2</v>
      </c>
      <c r="F334">
        <v>455842</v>
      </c>
      <c r="G334">
        <v>57437979</v>
      </c>
      <c r="H334">
        <v>99989</v>
      </c>
      <c r="I334">
        <v>0</v>
      </c>
    </row>
    <row r="335" spans="1:9" x14ac:dyDescent="0.2">
      <c r="A335">
        <v>2</v>
      </c>
      <c r="B335">
        <v>99</v>
      </c>
      <c r="C335">
        <v>10</v>
      </c>
      <c r="D335">
        <v>2004</v>
      </c>
      <c r="E335">
        <v>3</v>
      </c>
      <c r="F335">
        <v>459696</v>
      </c>
      <c r="G335">
        <v>58383939</v>
      </c>
      <c r="H335">
        <v>95886</v>
      </c>
      <c r="I335">
        <v>0</v>
      </c>
    </row>
    <row r="336" spans="1:9" x14ac:dyDescent="0.2">
      <c r="A336">
        <v>2</v>
      </c>
      <c r="B336">
        <v>99</v>
      </c>
      <c r="C336">
        <v>10</v>
      </c>
      <c r="D336">
        <v>2004</v>
      </c>
      <c r="E336">
        <v>4</v>
      </c>
      <c r="F336">
        <v>463955</v>
      </c>
      <c r="G336">
        <v>50134009</v>
      </c>
      <c r="H336">
        <v>83244</v>
      </c>
      <c r="I336">
        <v>0</v>
      </c>
    </row>
    <row r="337" spans="1:9" x14ac:dyDescent="0.2">
      <c r="A337">
        <v>2</v>
      </c>
      <c r="B337">
        <v>99</v>
      </c>
      <c r="C337">
        <v>10</v>
      </c>
      <c r="D337">
        <v>2005</v>
      </c>
      <c r="E337">
        <v>1</v>
      </c>
      <c r="F337">
        <v>467793</v>
      </c>
      <c r="G337">
        <v>50481922</v>
      </c>
      <c r="H337">
        <v>84241</v>
      </c>
      <c r="I337">
        <v>0</v>
      </c>
    </row>
    <row r="338" spans="1:9" x14ac:dyDescent="0.2">
      <c r="A338">
        <v>2</v>
      </c>
      <c r="B338">
        <v>99</v>
      </c>
      <c r="C338">
        <v>10</v>
      </c>
      <c r="D338">
        <v>2005</v>
      </c>
      <c r="E338">
        <v>2</v>
      </c>
      <c r="F338">
        <v>474305</v>
      </c>
      <c r="G338">
        <v>55467644</v>
      </c>
      <c r="H338">
        <v>103663</v>
      </c>
      <c r="I338">
        <v>0</v>
      </c>
    </row>
    <row r="339" spans="1:9" x14ac:dyDescent="0.2">
      <c r="A339">
        <v>2</v>
      </c>
      <c r="B339">
        <v>99</v>
      </c>
      <c r="C339">
        <v>10</v>
      </c>
      <c r="D339">
        <v>2005</v>
      </c>
      <c r="E339">
        <v>3</v>
      </c>
      <c r="F339">
        <v>481290</v>
      </c>
      <c r="G339">
        <v>63370326</v>
      </c>
      <c r="H339">
        <v>107582</v>
      </c>
      <c r="I339">
        <v>0</v>
      </c>
    </row>
    <row r="340" spans="1:9" x14ac:dyDescent="0.2">
      <c r="A340">
        <v>2</v>
      </c>
      <c r="B340">
        <v>99</v>
      </c>
      <c r="C340">
        <v>10</v>
      </c>
      <c r="D340">
        <v>2005</v>
      </c>
      <c r="E340">
        <v>4</v>
      </c>
      <c r="F340">
        <v>486684</v>
      </c>
      <c r="G340">
        <v>51094871</v>
      </c>
      <c r="H340">
        <v>84599</v>
      </c>
      <c r="I340">
        <v>0</v>
      </c>
    </row>
    <row r="341" spans="1:9" x14ac:dyDescent="0.2">
      <c r="A341">
        <v>2</v>
      </c>
      <c r="B341">
        <v>99</v>
      </c>
      <c r="C341">
        <v>10</v>
      </c>
      <c r="D341">
        <v>2006</v>
      </c>
      <c r="E341">
        <v>1</v>
      </c>
      <c r="F341">
        <v>488113</v>
      </c>
      <c r="G341">
        <v>49786946</v>
      </c>
      <c r="H341">
        <v>79147</v>
      </c>
      <c r="I341">
        <v>0</v>
      </c>
    </row>
    <row r="342" spans="1:9" x14ac:dyDescent="0.2">
      <c r="A342">
        <v>2</v>
      </c>
      <c r="B342">
        <v>99</v>
      </c>
      <c r="C342">
        <v>10</v>
      </c>
      <c r="D342">
        <v>2006</v>
      </c>
      <c r="E342">
        <v>2</v>
      </c>
      <c r="F342">
        <v>493241</v>
      </c>
      <c r="G342">
        <v>54145254</v>
      </c>
      <c r="H342">
        <v>95709</v>
      </c>
      <c r="I342">
        <v>0</v>
      </c>
    </row>
    <row r="343" spans="1:9" x14ac:dyDescent="0.2">
      <c r="A343">
        <v>2</v>
      </c>
      <c r="B343">
        <v>99</v>
      </c>
      <c r="C343">
        <v>10</v>
      </c>
      <c r="D343">
        <v>2006</v>
      </c>
      <c r="E343">
        <v>3</v>
      </c>
      <c r="F343">
        <v>495723</v>
      </c>
      <c r="G343">
        <v>62084574</v>
      </c>
      <c r="H343">
        <v>99961</v>
      </c>
      <c r="I343">
        <v>0</v>
      </c>
    </row>
    <row r="344" spans="1:9" x14ac:dyDescent="0.2">
      <c r="A344">
        <v>2</v>
      </c>
      <c r="B344">
        <v>99</v>
      </c>
      <c r="C344">
        <v>10</v>
      </c>
      <c r="D344">
        <v>2006</v>
      </c>
      <c r="E344">
        <v>4</v>
      </c>
      <c r="F344">
        <v>498237</v>
      </c>
      <c r="G344">
        <v>56609604</v>
      </c>
      <c r="H344">
        <v>88163</v>
      </c>
      <c r="I344">
        <v>0</v>
      </c>
    </row>
    <row r="345" spans="1:9" x14ac:dyDescent="0.2">
      <c r="A345">
        <v>2</v>
      </c>
      <c r="B345">
        <v>99</v>
      </c>
      <c r="C345">
        <v>10</v>
      </c>
      <c r="D345">
        <v>2007</v>
      </c>
      <c r="E345">
        <v>1</v>
      </c>
      <c r="F345">
        <v>498271</v>
      </c>
      <c r="G345">
        <v>55233151</v>
      </c>
      <c r="H345">
        <v>89978</v>
      </c>
      <c r="I345">
        <v>0</v>
      </c>
    </row>
    <row r="346" spans="1:9" x14ac:dyDescent="0.2">
      <c r="A346">
        <v>2</v>
      </c>
      <c r="B346">
        <v>99</v>
      </c>
      <c r="C346">
        <v>10</v>
      </c>
      <c r="D346">
        <v>2007</v>
      </c>
      <c r="E346">
        <v>2</v>
      </c>
      <c r="F346">
        <v>502075</v>
      </c>
      <c r="G346">
        <v>60415760</v>
      </c>
      <c r="H346">
        <v>100478</v>
      </c>
      <c r="I346">
        <v>0</v>
      </c>
    </row>
    <row r="347" spans="1:9" x14ac:dyDescent="0.2">
      <c r="A347">
        <v>2</v>
      </c>
      <c r="B347">
        <v>99</v>
      </c>
      <c r="C347">
        <v>10</v>
      </c>
      <c r="D347">
        <v>2007</v>
      </c>
      <c r="E347">
        <v>3</v>
      </c>
      <c r="F347">
        <v>502572</v>
      </c>
      <c r="G347">
        <v>64415544</v>
      </c>
      <c r="H347">
        <v>99690</v>
      </c>
      <c r="I347">
        <v>0</v>
      </c>
    </row>
    <row r="348" spans="1:9" x14ac:dyDescent="0.2">
      <c r="A348">
        <v>2</v>
      </c>
      <c r="B348">
        <v>99</v>
      </c>
      <c r="C348">
        <v>10</v>
      </c>
      <c r="D348">
        <v>2007</v>
      </c>
      <c r="E348">
        <v>4</v>
      </c>
      <c r="F348">
        <v>503577</v>
      </c>
      <c r="G348">
        <v>55643619</v>
      </c>
      <c r="H348">
        <v>82910</v>
      </c>
      <c r="I348">
        <v>0</v>
      </c>
    </row>
    <row r="349" spans="1:9" x14ac:dyDescent="0.2">
      <c r="A349">
        <v>2</v>
      </c>
      <c r="B349">
        <v>99</v>
      </c>
      <c r="C349">
        <v>10</v>
      </c>
      <c r="D349">
        <v>2008</v>
      </c>
      <c r="E349">
        <v>1</v>
      </c>
      <c r="F349">
        <v>502476</v>
      </c>
      <c r="G349">
        <v>54747059</v>
      </c>
      <c r="H349">
        <v>87849</v>
      </c>
      <c r="I349">
        <v>0</v>
      </c>
    </row>
    <row r="350" spans="1:9" x14ac:dyDescent="0.2">
      <c r="A350">
        <v>2</v>
      </c>
      <c r="B350">
        <v>99</v>
      </c>
      <c r="C350">
        <v>10</v>
      </c>
      <c r="D350">
        <v>2008</v>
      </c>
      <c r="E350">
        <v>2</v>
      </c>
      <c r="F350">
        <v>502889</v>
      </c>
      <c r="G350">
        <v>59136539</v>
      </c>
      <c r="H350">
        <v>100957</v>
      </c>
      <c r="I350">
        <v>0</v>
      </c>
    </row>
    <row r="351" spans="1:9" x14ac:dyDescent="0.2">
      <c r="A351">
        <v>2</v>
      </c>
      <c r="B351">
        <v>99</v>
      </c>
      <c r="C351">
        <v>10</v>
      </c>
      <c r="D351">
        <v>2008</v>
      </c>
      <c r="E351">
        <v>3</v>
      </c>
      <c r="F351">
        <v>499869</v>
      </c>
      <c r="G351">
        <v>62624753</v>
      </c>
      <c r="H351">
        <v>95254</v>
      </c>
      <c r="I351">
        <v>0</v>
      </c>
    </row>
    <row r="352" spans="1:9" x14ac:dyDescent="0.2">
      <c r="A352">
        <v>2</v>
      </c>
      <c r="B352">
        <v>99</v>
      </c>
      <c r="C352">
        <v>10</v>
      </c>
      <c r="D352">
        <v>2008</v>
      </c>
      <c r="E352">
        <v>4</v>
      </c>
      <c r="F352">
        <v>496139</v>
      </c>
      <c r="G352">
        <v>52778076</v>
      </c>
      <c r="H352">
        <v>77970</v>
      </c>
      <c r="I352">
        <v>0</v>
      </c>
    </row>
    <row r="353" spans="1:9" x14ac:dyDescent="0.2">
      <c r="A353">
        <v>2</v>
      </c>
      <c r="B353">
        <v>99</v>
      </c>
      <c r="C353">
        <v>10</v>
      </c>
      <c r="D353">
        <v>2009</v>
      </c>
      <c r="E353">
        <v>1</v>
      </c>
      <c r="F353">
        <v>491866</v>
      </c>
      <c r="G353">
        <v>48267039</v>
      </c>
      <c r="H353">
        <v>83428</v>
      </c>
      <c r="I353">
        <v>0</v>
      </c>
    </row>
    <row r="354" spans="1:9" x14ac:dyDescent="0.2">
      <c r="A354">
        <v>4</v>
      </c>
      <c r="B354">
        <v>99</v>
      </c>
      <c r="C354">
        <v>10</v>
      </c>
      <c r="D354">
        <v>2004</v>
      </c>
      <c r="E354">
        <v>1</v>
      </c>
      <c r="F354">
        <v>2521738</v>
      </c>
      <c r="G354">
        <v>165433056</v>
      </c>
      <c r="H354">
        <v>126348</v>
      </c>
      <c r="I354">
        <v>0</v>
      </c>
    </row>
    <row r="355" spans="1:9" x14ac:dyDescent="0.2">
      <c r="A355">
        <v>4</v>
      </c>
      <c r="B355">
        <v>99</v>
      </c>
      <c r="C355">
        <v>10</v>
      </c>
      <c r="D355">
        <v>2004</v>
      </c>
      <c r="E355">
        <v>2</v>
      </c>
      <c r="F355">
        <v>2528646</v>
      </c>
      <c r="G355">
        <v>148791872</v>
      </c>
      <c r="H355">
        <v>131344</v>
      </c>
      <c r="I355">
        <v>0</v>
      </c>
    </row>
    <row r="356" spans="1:9" x14ac:dyDescent="0.2">
      <c r="A356">
        <v>4</v>
      </c>
      <c r="B356">
        <v>99</v>
      </c>
      <c r="C356">
        <v>10</v>
      </c>
      <c r="D356">
        <v>2004</v>
      </c>
      <c r="E356">
        <v>3</v>
      </c>
      <c r="F356">
        <v>2538672</v>
      </c>
      <c r="G356">
        <v>156834695</v>
      </c>
      <c r="H356">
        <v>131459</v>
      </c>
      <c r="I356">
        <v>0</v>
      </c>
    </row>
    <row r="357" spans="1:9" x14ac:dyDescent="0.2">
      <c r="A357">
        <v>4</v>
      </c>
      <c r="B357">
        <v>99</v>
      </c>
      <c r="C357">
        <v>10</v>
      </c>
      <c r="D357">
        <v>2004</v>
      </c>
      <c r="E357">
        <v>4</v>
      </c>
      <c r="F357">
        <v>2547342</v>
      </c>
      <c r="G357">
        <v>152635725</v>
      </c>
      <c r="H357">
        <v>112403</v>
      </c>
      <c r="I357">
        <v>0</v>
      </c>
    </row>
    <row r="358" spans="1:9" x14ac:dyDescent="0.2">
      <c r="A358">
        <v>4</v>
      </c>
      <c r="B358">
        <v>99</v>
      </c>
      <c r="C358">
        <v>10</v>
      </c>
      <c r="D358">
        <v>2005</v>
      </c>
      <c r="E358">
        <v>1</v>
      </c>
      <c r="F358">
        <v>2549029</v>
      </c>
      <c r="G358">
        <v>166620714</v>
      </c>
      <c r="H358">
        <v>116184</v>
      </c>
      <c r="I358">
        <v>0</v>
      </c>
    </row>
    <row r="359" spans="1:9" x14ac:dyDescent="0.2">
      <c r="A359">
        <v>4</v>
      </c>
      <c r="B359">
        <v>99</v>
      </c>
      <c r="C359">
        <v>10</v>
      </c>
      <c r="D359">
        <v>2005</v>
      </c>
      <c r="E359">
        <v>2</v>
      </c>
      <c r="F359">
        <v>2569399</v>
      </c>
      <c r="G359">
        <v>152358128</v>
      </c>
      <c r="H359">
        <v>120526</v>
      </c>
      <c r="I359">
        <v>0</v>
      </c>
    </row>
    <row r="360" spans="1:9" x14ac:dyDescent="0.2">
      <c r="A360">
        <v>4</v>
      </c>
      <c r="B360">
        <v>99</v>
      </c>
      <c r="C360">
        <v>10</v>
      </c>
      <c r="D360">
        <v>2005</v>
      </c>
      <c r="E360">
        <v>3</v>
      </c>
      <c r="F360">
        <v>2588667</v>
      </c>
      <c r="G360">
        <v>160544766</v>
      </c>
      <c r="H360">
        <v>127996</v>
      </c>
      <c r="I360">
        <v>0</v>
      </c>
    </row>
    <row r="361" spans="1:9" x14ac:dyDescent="0.2">
      <c r="A361">
        <v>4</v>
      </c>
      <c r="B361">
        <v>99</v>
      </c>
      <c r="C361">
        <v>10</v>
      </c>
      <c r="D361">
        <v>2005</v>
      </c>
      <c r="E361">
        <v>4</v>
      </c>
      <c r="F361">
        <v>2601574</v>
      </c>
      <c r="G361">
        <v>155996229</v>
      </c>
      <c r="H361">
        <v>107202</v>
      </c>
      <c r="I361">
        <v>0</v>
      </c>
    </row>
    <row r="362" spans="1:9" x14ac:dyDescent="0.2">
      <c r="A362">
        <v>4</v>
      </c>
      <c r="B362">
        <v>99</v>
      </c>
      <c r="C362">
        <v>10</v>
      </c>
      <c r="D362">
        <v>2006</v>
      </c>
      <c r="E362">
        <v>1</v>
      </c>
      <c r="F362">
        <v>2605549</v>
      </c>
      <c r="G362">
        <v>188535034</v>
      </c>
      <c r="H362">
        <v>113784</v>
      </c>
      <c r="I362">
        <v>0</v>
      </c>
    </row>
    <row r="363" spans="1:9" x14ac:dyDescent="0.2">
      <c r="A363">
        <v>4</v>
      </c>
      <c r="B363">
        <v>99</v>
      </c>
      <c r="C363">
        <v>10</v>
      </c>
      <c r="D363">
        <v>2006</v>
      </c>
      <c r="E363">
        <v>2</v>
      </c>
      <c r="F363">
        <v>2631358</v>
      </c>
      <c r="G363">
        <v>158599033</v>
      </c>
      <c r="H363">
        <v>114640</v>
      </c>
      <c r="I363">
        <v>0</v>
      </c>
    </row>
    <row r="364" spans="1:9" x14ac:dyDescent="0.2">
      <c r="A364">
        <v>4</v>
      </c>
      <c r="B364">
        <v>99</v>
      </c>
      <c r="C364">
        <v>10</v>
      </c>
      <c r="D364">
        <v>2006</v>
      </c>
      <c r="E364">
        <v>3</v>
      </c>
      <c r="F364">
        <v>2650638</v>
      </c>
      <c r="G364">
        <v>170275341</v>
      </c>
      <c r="H364">
        <v>120912</v>
      </c>
      <c r="I364">
        <v>0</v>
      </c>
    </row>
    <row r="365" spans="1:9" x14ac:dyDescent="0.2">
      <c r="A365">
        <v>4</v>
      </c>
      <c r="B365">
        <v>99</v>
      </c>
      <c r="C365">
        <v>10</v>
      </c>
      <c r="D365">
        <v>2006</v>
      </c>
      <c r="E365">
        <v>4</v>
      </c>
      <c r="F365">
        <v>2664166</v>
      </c>
      <c r="G365">
        <v>160288309</v>
      </c>
      <c r="H365">
        <v>103424</v>
      </c>
      <c r="I365">
        <v>0</v>
      </c>
    </row>
    <row r="366" spans="1:9" x14ac:dyDescent="0.2">
      <c r="A366">
        <v>4</v>
      </c>
      <c r="B366">
        <v>99</v>
      </c>
      <c r="C366">
        <v>10</v>
      </c>
      <c r="D366">
        <v>2007</v>
      </c>
      <c r="E366">
        <v>1</v>
      </c>
      <c r="F366">
        <v>2674629</v>
      </c>
      <c r="G366">
        <v>165049449</v>
      </c>
      <c r="H366">
        <v>107361</v>
      </c>
      <c r="I366">
        <v>0</v>
      </c>
    </row>
    <row r="367" spans="1:9" x14ac:dyDescent="0.2">
      <c r="A367">
        <v>4</v>
      </c>
      <c r="B367">
        <v>99</v>
      </c>
      <c r="C367">
        <v>10</v>
      </c>
      <c r="D367">
        <v>2007</v>
      </c>
      <c r="E367">
        <v>2</v>
      </c>
      <c r="F367">
        <v>2706692</v>
      </c>
      <c r="G367">
        <v>158760575</v>
      </c>
      <c r="H367">
        <v>109570</v>
      </c>
      <c r="I367">
        <v>0</v>
      </c>
    </row>
    <row r="368" spans="1:9" x14ac:dyDescent="0.2">
      <c r="A368">
        <v>4</v>
      </c>
      <c r="B368">
        <v>99</v>
      </c>
      <c r="C368">
        <v>10</v>
      </c>
      <c r="D368">
        <v>2007</v>
      </c>
      <c r="E368">
        <v>3</v>
      </c>
      <c r="F368">
        <v>2727391</v>
      </c>
      <c r="G368">
        <v>169029462</v>
      </c>
      <c r="H368">
        <v>117417</v>
      </c>
      <c r="I368">
        <v>0</v>
      </c>
    </row>
    <row r="369" spans="1:9" x14ac:dyDescent="0.2">
      <c r="A369">
        <v>4</v>
      </c>
      <c r="B369">
        <v>99</v>
      </c>
      <c r="C369">
        <v>10</v>
      </c>
      <c r="D369">
        <v>2007</v>
      </c>
      <c r="E369">
        <v>4</v>
      </c>
      <c r="F369">
        <v>2732380</v>
      </c>
      <c r="G369">
        <v>186643853</v>
      </c>
      <c r="H369">
        <v>104459</v>
      </c>
      <c r="I369">
        <v>0</v>
      </c>
    </row>
    <row r="370" spans="1:9" x14ac:dyDescent="0.2">
      <c r="A370">
        <v>4</v>
      </c>
      <c r="B370">
        <v>99</v>
      </c>
      <c r="C370">
        <v>10</v>
      </c>
      <c r="D370">
        <v>2008</v>
      </c>
      <c r="E370">
        <v>1</v>
      </c>
      <c r="F370">
        <v>2744365</v>
      </c>
      <c r="G370">
        <v>193398650</v>
      </c>
      <c r="H370">
        <v>109379</v>
      </c>
      <c r="I370">
        <v>0</v>
      </c>
    </row>
    <row r="371" spans="1:9" x14ac:dyDescent="0.2">
      <c r="A371">
        <v>4</v>
      </c>
      <c r="B371">
        <v>99</v>
      </c>
      <c r="C371">
        <v>10</v>
      </c>
      <c r="D371">
        <v>2008</v>
      </c>
      <c r="E371">
        <v>2</v>
      </c>
      <c r="F371">
        <v>2760474</v>
      </c>
      <c r="G371">
        <v>173885506</v>
      </c>
      <c r="H371">
        <v>109762</v>
      </c>
      <c r="I371">
        <v>0</v>
      </c>
    </row>
    <row r="372" spans="1:9" x14ac:dyDescent="0.2">
      <c r="A372">
        <v>4</v>
      </c>
      <c r="B372">
        <v>99</v>
      </c>
      <c r="C372">
        <v>10</v>
      </c>
      <c r="D372">
        <v>2008</v>
      </c>
      <c r="E372">
        <v>3</v>
      </c>
      <c r="F372">
        <v>2780480</v>
      </c>
      <c r="G372">
        <v>174278474</v>
      </c>
      <c r="H372">
        <v>108686</v>
      </c>
      <c r="I372">
        <v>0</v>
      </c>
    </row>
    <row r="373" spans="1:9" x14ac:dyDescent="0.2">
      <c r="A373">
        <v>4</v>
      </c>
      <c r="B373">
        <v>99</v>
      </c>
      <c r="C373">
        <v>10</v>
      </c>
      <c r="D373">
        <v>2008</v>
      </c>
      <c r="E373">
        <v>4</v>
      </c>
      <c r="F373">
        <v>2787523</v>
      </c>
      <c r="G373">
        <v>164956930</v>
      </c>
      <c r="H373">
        <v>95358</v>
      </c>
      <c r="I373">
        <v>0</v>
      </c>
    </row>
    <row r="374" spans="1:9" x14ac:dyDescent="0.2">
      <c r="A374">
        <v>4</v>
      </c>
      <c r="B374">
        <v>99</v>
      </c>
      <c r="C374">
        <v>10</v>
      </c>
      <c r="D374">
        <v>2009</v>
      </c>
      <c r="E374">
        <v>1</v>
      </c>
      <c r="F374">
        <v>2782843</v>
      </c>
      <c r="G374">
        <v>157836365</v>
      </c>
      <c r="H374">
        <v>98418</v>
      </c>
      <c r="I374">
        <v>0</v>
      </c>
    </row>
    <row r="375" spans="1:9" x14ac:dyDescent="0.2">
      <c r="A375">
        <v>90</v>
      </c>
      <c r="B375">
        <v>99</v>
      </c>
      <c r="C375">
        <v>10</v>
      </c>
      <c r="D375">
        <v>2004</v>
      </c>
      <c r="E375">
        <v>1</v>
      </c>
      <c r="F375">
        <v>22435562</v>
      </c>
      <c r="G375">
        <v>1317123219</v>
      </c>
      <c r="H375">
        <v>1515377</v>
      </c>
      <c r="I375">
        <v>0</v>
      </c>
    </row>
    <row r="376" spans="1:9" x14ac:dyDescent="0.2">
      <c r="A376">
        <v>90</v>
      </c>
      <c r="B376">
        <v>99</v>
      </c>
      <c r="C376">
        <v>10</v>
      </c>
      <c r="D376">
        <v>2004</v>
      </c>
      <c r="E376">
        <v>2</v>
      </c>
      <c r="F376">
        <v>22716149</v>
      </c>
      <c r="G376">
        <v>1611687499</v>
      </c>
      <c r="H376">
        <v>1781644</v>
      </c>
      <c r="I376">
        <v>0</v>
      </c>
    </row>
    <row r="377" spans="1:9" x14ac:dyDescent="0.2">
      <c r="A377">
        <v>90</v>
      </c>
      <c r="B377">
        <v>99</v>
      </c>
      <c r="C377">
        <v>10</v>
      </c>
      <c r="D377">
        <v>2004</v>
      </c>
      <c r="E377">
        <v>3</v>
      </c>
      <c r="F377">
        <v>22812687</v>
      </c>
      <c r="G377">
        <v>1779971125</v>
      </c>
      <c r="H377">
        <v>1830437</v>
      </c>
      <c r="I377">
        <v>0</v>
      </c>
    </row>
    <row r="378" spans="1:9" x14ac:dyDescent="0.2">
      <c r="A378">
        <v>90</v>
      </c>
      <c r="B378">
        <v>99</v>
      </c>
      <c r="C378">
        <v>10</v>
      </c>
      <c r="D378">
        <v>2004</v>
      </c>
      <c r="E378">
        <v>4</v>
      </c>
      <c r="F378">
        <v>22842404</v>
      </c>
      <c r="G378">
        <v>1688281653</v>
      </c>
      <c r="H378">
        <v>1576866</v>
      </c>
      <c r="I378">
        <v>0</v>
      </c>
    </row>
    <row r="379" spans="1:9" x14ac:dyDescent="0.2">
      <c r="A379">
        <v>90</v>
      </c>
      <c r="B379">
        <v>99</v>
      </c>
      <c r="C379">
        <v>10</v>
      </c>
      <c r="D379">
        <v>2005</v>
      </c>
      <c r="E379">
        <v>1</v>
      </c>
      <c r="F379">
        <v>22877878</v>
      </c>
      <c r="G379">
        <v>1345541739</v>
      </c>
      <c r="H379">
        <v>1505685</v>
      </c>
      <c r="I379">
        <v>0</v>
      </c>
    </row>
    <row r="380" spans="1:9" x14ac:dyDescent="0.2">
      <c r="A380">
        <v>90</v>
      </c>
      <c r="B380">
        <v>99</v>
      </c>
      <c r="C380">
        <v>10</v>
      </c>
      <c r="D380">
        <v>2005</v>
      </c>
      <c r="E380">
        <v>2</v>
      </c>
      <c r="F380">
        <v>23071084</v>
      </c>
      <c r="G380">
        <v>1539741461</v>
      </c>
      <c r="H380">
        <v>1718369</v>
      </c>
      <c r="I380">
        <v>0</v>
      </c>
    </row>
    <row r="381" spans="1:9" x14ac:dyDescent="0.2">
      <c r="A381">
        <v>90</v>
      </c>
      <c r="B381">
        <v>99</v>
      </c>
      <c r="C381">
        <v>10</v>
      </c>
      <c r="D381">
        <v>2005</v>
      </c>
      <c r="E381">
        <v>3</v>
      </c>
      <c r="F381">
        <v>23220206</v>
      </c>
      <c r="G381">
        <v>1793939155</v>
      </c>
      <c r="H381">
        <v>1723585</v>
      </c>
      <c r="I381">
        <v>0</v>
      </c>
    </row>
    <row r="382" spans="1:9" x14ac:dyDescent="0.2">
      <c r="A382">
        <v>90</v>
      </c>
      <c r="B382">
        <v>99</v>
      </c>
      <c r="C382">
        <v>10</v>
      </c>
      <c r="D382">
        <v>2005</v>
      </c>
      <c r="E382">
        <v>4</v>
      </c>
      <c r="F382">
        <v>23296113</v>
      </c>
      <c r="G382">
        <v>2574920020</v>
      </c>
      <c r="H382">
        <v>1673184</v>
      </c>
      <c r="I382">
        <v>0</v>
      </c>
    </row>
    <row r="383" spans="1:9" x14ac:dyDescent="0.2">
      <c r="A383">
        <v>90</v>
      </c>
      <c r="B383">
        <v>99</v>
      </c>
      <c r="C383">
        <v>10</v>
      </c>
      <c r="D383">
        <v>2006</v>
      </c>
      <c r="E383">
        <v>1</v>
      </c>
      <c r="F383">
        <v>23285873</v>
      </c>
      <c r="G383">
        <v>1499994857</v>
      </c>
      <c r="H383">
        <v>1449157</v>
      </c>
      <c r="I383">
        <v>0</v>
      </c>
    </row>
    <row r="384" spans="1:9" x14ac:dyDescent="0.2">
      <c r="A384">
        <v>90</v>
      </c>
      <c r="B384">
        <v>99</v>
      </c>
      <c r="C384">
        <v>10</v>
      </c>
      <c r="D384">
        <v>2006</v>
      </c>
      <c r="E384">
        <v>2</v>
      </c>
      <c r="F384">
        <v>23519849</v>
      </c>
      <c r="G384">
        <v>1805248873</v>
      </c>
      <c r="H384">
        <v>1690652</v>
      </c>
      <c r="I384">
        <v>0</v>
      </c>
    </row>
    <row r="385" spans="1:9" x14ac:dyDescent="0.2">
      <c r="A385">
        <v>90</v>
      </c>
      <c r="B385">
        <v>99</v>
      </c>
      <c r="C385">
        <v>10</v>
      </c>
      <c r="D385">
        <v>2006</v>
      </c>
      <c r="E385">
        <v>3</v>
      </c>
      <c r="F385">
        <v>23643674</v>
      </c>
      <c r="G385">
        <v>1604410109</v>
      </c>
      <c r="H385">
        <v>1540786</v>
      </c>
      <c r="I385">
        <v>0</v>
      </c>
    </row>
    <row r="386" spans="1:9" x14ac:dyDescent="0.2">
      <c r="A386">
        <v>90</v>
      </c>
      <c r="B386">
        <v>99</v>
      </c>
      <c r="C386">
        <v>10</v>
      </c>
      <c r="D386">
        <v>2006</v>
      </c>
      <c r="E386">
        <v>4</v>
      </c>
      <c r="F386">
        <v>23670498</v>
      </c>
      <c r="G386">
        <v>1677101151</v>
      </c>
      <c r="H386">
        <v>1402635</v>
      </c>
      <c r="I386">
        <v>0</v>
      </c>
    </row>
    <row r="387" spans="1:9" x14ac:dyDescent="0.2">
      <c r="A387">
        <v>90</v>
      </c>
      <c r="B387">
        <v>99</v>
      </c>
      <c r="C387">
        <v>10</v>
      </c>
      <c r="D387">
        <v>2007</v>
      </c>
      <c r="E387">
        <v>1</v>
      </c>
      <c r="F387">
        <v>23696052</v>
      </c>
      <c r="G387">
        <v>1380554370</v>
      </c>
      <c r="H387">
        <v>1324962</v>
      </c>
      <c r="I387">
        <v>0</v>
      </c>
    </row>
    <row r="388" spans="1:9" x14ac:dyDescent="0.2">
      <c r="A388">
        <v>90</v>
      </c>
      <c r="B388">
        <v>99</v>
      </c>
      <c r="C388">
        <v>10</v>
      </c>
      <c r="D388">
        <v>2007</v>
      </c>
      <c r="E388">
        <v>2</v>
      </c>
      <c r="F388">
        <v>23925233</v>
      </c>
      <c r="G388">
        <v>1522935640</v>
      </c>
      <c r="H388">
        <v>1538114</v>
      </c>
      <c r="I388">
        <v>0</v>
      </c>
    </row>
    <row r="389" spans="1:9" x14ac:dyDescent="0.2">
      <c r="A389">
        <v>90</v>
      </c>
      <c r="B389">
        <v>99</v>
      </c>
      <c r="C389">
        <v>10</v>
      </c>
      <c r="D389">
        <v>2007</v>
      </c>
      <c r="E389">
        <v>3</v>
      </c>
      <c r="F389">
        <v>24033958</v>
      </c>
      <c r="G389">
        <v>1643104658</v>
      </c>
      <c r="H389">
        <v>1540091</v>
      </c>
      <c r="I389">
        <v>0</v>
      </c>
    </row>
    <row r="390" spans="1:9" x14ac:dyDescent="0.2">
      <c r="A390">
        <v>90</v>
      </c>
      <c r="B390">
        <v>99</v>
      </c>
      <c r="C390">
        <v>10</v>
      </c>
      <c r="D390">
        <v>2007</v>
      </c>
      <c r="E390">
        <v>4</v>
      </c>
      <c r="F390">
        <v>24058706</v>
      </c>
      <c r="G390">
        <v>1635276639</v>
      </c>
      <c r="H390">
        <v>1382100</v>
      </c>
      <c r="I390">
        <v>0</v>
      </c>
    </row>
    <row r="391" spans="1:9" x14ac:dyDescent="0.2">
      <c r="A391">
        <v>90</v>
      </c>
      <c r="B391">
        <v>99</v>
      </c>
      <c r="C391">
        <v>10</v>
      </c>
      <c r="D391">
        <v>2008</v>
      </c>
      <c r="E391">
        <v>1</v>
      </c>
      <c r="F391">
        <v>24095834</v>
      </c>
      <c r="G391">
        <v>1479506584</v>
      </c>
      <c r="H391">
        <v>1346991</v>
      </c>
      <c r="I391">
        <v>0</v>
      </c>
    </row>
    <row r="392" spans="1:9" x14ac:dyDescent="0.2">
      <c r="A392">
        <v>90</v>
      </c>
      <c r="B392">
        <v>99</v>
      </c>
      <c r="C392">
        <v>10</v>
      </c>
      <c r="D392">
        <v>2008</v>
      </c>
      <c r="E392">
        <v>2</v>
      </c>
      <c r="F392">
        <v>24257693</v>
      </c>
      <c r="G392">
        <v>2016464996</v>
      </c>
      <c r="H392">
        <v>1682614</v>
      </c>
      <c r="I392">
        <v>0</v>
      </c>
    </row>
    <row r="393" spans="1:9" x14ac:dyDescent="0.2">
      <c r="A393">
        <v>90</v>
      </c>
      <c r="B393">
        <v>99</v>
      </c>
      <c r="C393">
        <v>10</v>
      </c>
      <c r="D393">
        <v>2008</v>
      </c>
      <c r="E393">
        <v>3</v>
      </c>
      <c r="F393">
        <v>24323490</v>
      </c>
      <c r="G393">
        <v>1885753931</v>
      </c>
      <c r="H393">
        <v>1580436</v>
      </c>
      <c r="I393">
        <v>0</v>
      </c>
    </row>
    <row r="394" spans="1:9" x14ac:dyDescent="0.2">
      <c r="A394">
        <v>90</v>
      </c>
      <c r="B394">
        <v>99</v>
      </c>
      <c r="C394">
        <v>10</v>
      </c>
      <c r="D394">
        <v>2008</v>
      </c>
      <c r="E394">
        <v>4</v>
      </c>
      <c r="F394">
        <v>24254022</v>
      </c>
      <c r="G394">
        <v>1788535813</v>
      </c>
      <c r="H394">
        <v>1343844</v>
      </c>
      <c r="I394">
        <v>0</v>
      </c>
    </row>
    <row r="395" spans="1:9" x14ac:dyDescent="0.2">
      <c r="A395">
        <v>90</v>
      </c>
      <c r="B395">
        <v>99</v>
      </c>
      <c r="C395">
        <v>10</v>
      </c>
      <c r="D395">
        <v>2009</v>
      </c>
      <c r="E395">
        <v>1</v>
      </c>
      <c r="F395">
        <v>24145327</v>
      </c>
      <c r="G395">
        <v>1430131212</v>
      </c>
      <c r="H395">
        <v>1347741</v>
      </c>
      <c r="I395">
        <v>0</v>
      </c>
    </row>
    <row r="397" spans="1:9" x14ac:dyDescent="0.2">
      <c r="A397" t="s">
        <v>697</v>
      </c>
    </row>
    <row r="398" spans="1:9" x14ac:dyDescent="0.2">
      <c r="A398" t="s">
        <v>689</v>
      </c>
      <c r="B398" t="s">
        <v>690</v>
      </c>
      <c r="C398" t="s">
        <v>691</v>
      </c>
      <c r="D398" t="s">
        <v>6</v>
      </c>
      <c r="E398" t="s">
        <v>12</v>
      </c>
      <c r="F398" t="s">
        <v>92</v>
      </c>
      <c r="G398" t="s">
        <v>95</v>
      </c>
      <c r="H398" t="s">
        <v>93</v>
      </c>
      <c r="I398" t="s">
        <v>94</v>
      </c>
    </row>
    <row r="399" spans="1:9" x14ac:dyDescent="0.2">
      <c r="A399">
        <v>2</v>
      </c>
      <c r="B399">
        <v>99</v>
      </c>
      <c r="C399">
        <v>20</v>
      </c>
      <c r="D399">
        <v>2004</v>
      </c>
      <c r="E399">
        <v>1</v>
      </c>
      <c r="F399">
        <v>441671</v>
      </c>
      <c r="G399">
        <v>80760007</v>
      </c>
      <c r="H399">
        <v>22968</v>
      </c>
      <c r="I399">
        <v>0</v>
      </c>
    </row>
    <row r="400" spans="1:9" x14ac:dyDescent="0.2">
      <c r="A400">
        <v>2</v>
      </c>
      <c r="B400">
        <v>99</v>
      </c>
      <c r="C400">
        <v>20</v>
      </c>
      <c r="D400">
        <v>2004</v>
      </c>
      <c r="E400">
        <v>2</v>
      </c>
      <c r="F400">
        <v>445356</v>
      </c>
      <c r="G400">
        <v>72357692</v>
      </c>
      <c r="H400">
        <v>22602</v>
      </c>
      <c r="I400">
        <v>0</v>
      </c>
    </row>
    <row r="401" spans="1:9" x14ac:dyDescent="0.2">
      <c r="A401">
        <v>2</v>
      </c>
      <c r="B401">
        <v>99</v>
      </c>
      <c r="C401">
        <v>20</v>
      </c>
      <c r="D401">
        <v>2004</v>
      </c>
      <c r="E401">
        <v>3</v>
      </c>
      <c r="F401">
        <v>448922</v>
      </c>
      <c r="G401">
        <v>72960242</v>
      </c>
      <c r="H401">
        <v>22177</v>
      </c>
      <c r="I401">
        <v>0</v>
      </c>
    </row>
    <row r="402" spans="1:9" x14ac:dyDescent="0.2">
      <c r="A402">
        <v>2</v>
      </c>
      <c r="B402">
        <v>99</v>
      </c>
      <c r="C402">
        <v>20</v>
      </c>
      <c r="D402">
        <v>2004</v>
      </c>
      <c r="E402">
        <v>4</v>
      </c>
      <c r="F402">
        <v>453762</v>
      </c>
      <c r="G402">
        <v>75821931</v>
      </c>
      <c r="H402">
        <v>22224</v>
      </c>
      <c r="I402">
        <v>0</v>
      </c>
    </row>
    <row r="403" spans="1:9" x14ac:dyDescent="0.2">
      <c r="A403">
        <v>2</v>
      </c>
      <c r="B403">
        <v>99</v>
      </c>
      <c r="C403">
        <v>20</v>
      </c>
      <c r="D403">
        <v>2005</v>
      </c>
      <c r="E403">
        <v>1</v>
      </c>
      <c r="F403">
        <v>457748</v>
      </c>
      <c r="G403">
        <v>84257805</v>
      </c>
      <c r="H403">
        <v>23860</v>
      </c>
      <c r="I403">
        <v>0</v>
      </c>
    </row>
    <row r="404" spans="1:9" x14ac:dyDescent="0.2">
      <c r="A404">
        <v>2</v>
      </c>
      <c r="B404">
        <v>99</v>
      </c>
      <c r="C404">
        <v>20</v>
      </c>
      <c r="D404">
        <v>2005</v>
      </c>
      <c r="E404">
        <v>2</v>
      </c>
      <c r="F404">
        <v>463463</v>
      </c>
      <c r="G404">
        <v>78018720</v>
      </c>
      <c r="H404">
        <v>23371</v>
      </c>
      <c r="I404">
        <v>0</v>
      </c>
    </row>
    <row r="405" spans="1:9" x14ac:dyDescent="0.2">
      <c r="A405">
        <v>2</v>
      </c>
      <c r="B405">
        <v>99</v>
      </c>
      <c r="C405">
        <v>20</v>
      </c>
      <c r="D405">
        <v>2005</v>
      </c>
      <c r="E405">
        <v>3</v>
      </c>
      <c r="F405">
        <v>470058</v>
      </c>
      <c r="G405">
        <v>80896702</v>
      </c>
      <c r="H405">
        <v>23984</v>
      </c>
      <c r="I405">
        <v>0</v>
      </c>
    </row>
    <row r="406" spans="1:9" x14ac:dyDescent="0.2">
      <c r="A406">
        <v>2</v>
      </c>
      <c r="B406">
        <v>99</v>
      </c>
      <c r="C406">
        <v>20</v>
      </c>
      <c r="D406">
        <v>2005</v>
      </c>
      <c r="E406">
        <v>4</v>
      </c>
      <c r="F406">
        <v>476048</v>
      </c>
      <c r="G406">
        <v>82463645</v>
      </c>
      <c r="H406">
        <v>23339</v>
      </c>
      <c r="I406">
        <v>0</v>
      </c>
    </row>
    <row r="407" spans="1:9" x14ac:dyDescent="0.2">
      <c r="A407">
        <v>2</v>
      </c>
      <c r="B407">
        <v>99</v>
      </c>
      <c r="C407">
        <v>20</v>
      </c>
      <c r="D407">
        <v>2006</v>
      </c>
      <c r="E407">
        <v>1</v>
      </c>
      <c r="F407">
        <v>477857</v>
      </c>
      <c r="G407">
        <v>87628701</v>
      </c>
      <c r="H407">
        <v>24421</v>
      </c>
      <c r="I407">
        <v>0</v>
      </c>
    </row>
    <row r="408" spans="1:9" x14ac:dyDescent="0.2">
      <c r="A408">
        <v>2</v>
      </c>
      <c r="B408">
        <v>99</v>
      </c>
      <c r="C408">
        <v>20</v>
      </c>
      <c r="D408">
        <v>2006</v>
      </c>
      <c r="E408">
        <v>2</v>
      </c>
      <c r="F408">
        <v>482243</v>
      </c>
      <c r="G408">
        <v>80520808</v>
      </c>
      <c r="H408">
        <v>23884</v>
      </c>
      <c r="I408">
        <v>0</v>
      </c>
    </row>
    <row r="409" spans="1:9" x14ac:dyDescent="0.2">
      <c r="A409">
        <v>2</v>
      </c>
      <c r="B409">
        <v>99</v>
      </c>
      <c r="C409">
        <v>20</v>
      </c>
      <c r="D409">
        <v>2006</v>
      </c>
      <c r="E409">
        <v>3</v>
      </c>
      <c r="F409">
        <v>484635</v>
      </c>
      <c r="G409">
        <v>79811586</v>
      </c>
      <c r="H409">
        <v>23999</v>
      </c>
      <c r="I409">
        <v>0</v>
      </c>
    </row>
    <row r="410" spans="1:9" x14ac:dyDescent="0.2">
      <c r="A410">
        <v>2</v>
      </c>
      <c r="B410">
        <v>99</v>
      </c>
      <c r="C410">
        <v>20</v>
      </c>
      <c r="D410">
        <v>2006</v>
      </c>
      <c r="E410">
        <v>4</v>
      </c>
      <c r="F410">
        <v>487856</v>
      </c>
      <c r="G410">
        <v>90129449</v>
      </c>
      <c r="H410">
        <v>24185</v>
      </c>
      <c r="I410">
        <v>0</v>
      </c>
    </row>
    <row r="411" spans="1:9" x14ac:dyDescent="0.2">
      <c r="A411">
        <v>2</v>
      </c>
      <c r="B411">
        <v>99</v>
      </c>
      <c r="C411">
        <v>20</v>
      </c>
      <c r="D411">
        <v>2007</v>
      </c>
      <c r="E411">
        <v>1</v>
      </c>
      <c r="F411">
        <v>488205</v>
      </c>
      <c r="G411">
        <v>96573179</v>
      </c>
      <c r="H411">
        <v>26100</v>
      </c>
      <c r="I411">
        <v>0</v>
      </c>
    </row>
    <row r="412" spans="1:9" x14ac:dyDescent="0.2">
      <c r="A412">
        <v>2</v>
      </c>
      <c r="B412">
        <v>99</v>
      </c>
      <c r="C412">
        <v>20</v>
      </c>
      <c r="D412">
        <v>2007</v>
      </c>
      <c r="E412">
        <v>2</v>
      </c>
      <c r="F412">
        <v>491100</v>
      </c>
      <c r="G412">
        <v>85730768</v>
      </c>
      <c r="H412">
        <v>25186</v>
      </c>
      <c r="I412">
        <v>0</v>
      </c>
    </row>
    <row r="413" spans="1:9" x14ac:dyDescent="0.2">
      <c r="A413">
        <v>2</v>
      </c>
      <c r="B413">
        <v>99</v>
      </c>
      <c r="C413">
        <v>20</v>
      </c>
      <c r="D413">
        <v>2007</v>
      </c>
      <c r="E413">
        <v>3</v>
      </c>
      <c r="F413">
        <v>491325</v>
      </c>
      <c r="G413">
        <v>84209030</v>
      </c>
      <c r="H413">
        <v>24827</v>
      </c>
      <c r="I413">
        <v>0</v>
      </c>
    </row>
    <row r="414" spans="1:9" x14ac:dyDescent="0.2">
      <c r="A414">
        <v>2</v>
      </c>
      <c r="B414">
        <v>99</v>
      </c>
      <c r="C414">
        <v>20</v>
      </c>
      <c r="D414">
        <v>2007</v>
      </c>
      <c r="E414">
        <v>4</v>
      </c>
      <c r="F414">
        <v>492855</v>
      </c>
      <c r="G414">
        <v>85047879</v>
      </c>
      <c r="H414">
        <v>24522</v>
      </c>
      <c r="I414">
        <v>0</v>
      </c>
    </row>
    <row r="415" spans="1:9" x14ac:dyDescent="0.2">
      <c r="A415">
        <v>2</v>
      </c>
      <c r="B415">
        <v>99</v>
      </c>
      <c r="C415">
        <v>20</v>
      </c>
      <c r="D415">
        <v>2008</v>
      </c>
      <c r="E415">
        <v>1</v>
      </c>
      <c r="F415">
        <v>491961</v>
      </c>
      <c r="G415">
        <v>89469292</v>
      </c>
      <c r="H415">
        <v>24543</v>
      </c>
      <c r="I415">
        <v>0</v>
      </c>
    </row>
    <row r="416" spans="1:9" x14ac:dyDescent="0.2">
      <c r="A416">
        <v>2</v>
      </c>
      <c r="B416">
        <v>99</v>
      </c>
      <c r="C416">
        <v>20</v>
      </c>
      <c r="D416">
        <v>2008</v>
      </c>
      <c r="E416">
        <v>2</v>
      </c>
      <c r="F416">
        <v>491337</v>
      </c>
      <c r="G416">
        <v>75640020</v>
      </c>
      <c r="H416">
        <v>23282</v>
      </c>
      <c r="I416">
        <v>0</v>
      </c>
    </row>
    <row r="417" spans="1:9" x14ac:dyDescent="0.2">
      <c r="A417">
        <v>2</v>
      </c>
      <c r="B417">
        <v>99</v>
      </c>
      <c r="C417">
        <v>20</v>
      </c>
      <c r="D417">
        <v>2008</v>
      </c>
      <c r="E417">
        <v>3</v>
      </c>
      <c r="F417">
        <v>487840</v>
      </c>
      <c r="G417">
        <v>66630582</v>
      </c>
      <c r="H417">
        <v>21699</v>
      </c>
      <c r="I417">
        <v>0</v>
      </c>
    </row>
    <row r="418" spans="1:9" x14ac:dyDescent="0.2">
      <c r="A418">
        <v>2</v>
      </c>
      <c r="B418">
        <v>99</v>
      </c>
      <c r="C418">
        <v>20</v>
      </c>
      <c r="D418">
        <v>2008</v>
      </c>
      <c r="E418">
        <v>4</v>
      </c>
      <c r="F418">
        <v>484597</v>
      </c>
      <c r="G418">
        <v>71412447</v>
      </c>
      <c r="H418">
        <v>20772</v>
      </c>
      <c r="I418">
        <v>0</v>
      </c>
    </row>
    <row r="419" spans="1:9" x14ac:dyDescent="0.2">
      <c r="A419">
        <v>2</v>
      </c>
      <c r="B419">
        <v>99</v>
      </c>
      <c r="C419">
        <v>20</v>
      </c>
      <c r="D419">
        <v>2009</v>
      </c>
      <c r="E419">
        <v>1</v>
      </c>
      <c r="F419">
        <v>480386</v>
      </c>
      <c r="G419">
        <v>71861450</v>
      </c>
      <c r="H419">
        <v>21017</v>
      </c>
      <c r="I419">
        <v>0</v>
      </c>
    </row>
    <row r="420" spans="1:9" x14ac:dyDescent="0.2">
      <c r="A420">
        <v>4</v>
      </c>
      <c r="B420">
        <v>99</v>
      </c>
      <c r="C420">
        <v>20</v>
      </c>
      <c r="D420">
        <v>2004</v>
      </c>
      <c r="E420">
        <v>1</v>
      </c>
      <c r="F420">
        <v>2471591</v>
      </c>
      <c r="G420">
        <v>594378921</v>
      </c>
      <c r="H420">
        <v>184079</v>
      </c>
      <c r="I420">
        <v>0</v>
      </c>
    </row>
    <row r="421" spans="1:9" x14ac:dyDescent="0.2">
      <c r="A421">
        <v>4</v>
      </c>
      <c r="B421">
        <v>99</v>
      </c>
      <c r="C421">
        <v>20</v>
      </c>
      <c r="D421">
        <v>2004</v>
      </c>
      <c r="E421">
        <v>2</v>
      </c>
      <c r="F421">
        <v>2479377</v>
      </c>
      <c r="G421">
        <v>511438742</v>
      </c>
      <c r="H421">
        <v>172288</v>
      </c>
      <c r="I421">
        <v>0</v>
      </c>
    </row>
    <row r="422" spans="1:9" x14ac:dyDescent="0.2">
      <c r="A422">
        <v>4</v>
      </c>
      <c r="B422">
        <v>99</v>
      </c>
      <c r="C422">
        <v>20</v>
      </c>
      <c r="D422">
        <v>2004</v>
      </c>
      <c r="E422">
        <v>3</v>
      </c>
      <c r="F422">
        <v>2490374</v>
      </c>
      <c r="G422">
        <v>507248970</v>
      </c>
      <c r="H422">
        <v>170178</v>
      </c>
      <c r="I422">
        <v>0</v>
      </c>
    </row>
    <row r="423" spans="1:9" x14ac:dyDescent="0.2">
      <c r="A423">
        <v>4</v>
      </c>
      <c r="B423">
        <v>99</v>
      </c>
      <c r="C423">
        <v>20</v>
      </c>
      <c r="D423">
        <v>2004</v>
      </c>
      <c r="E423">
        <v>4</v>
      </c>
      <c r="F423">
        <v>2499416</v>
      </c>
      <c r="G423">
        <v>538070783</v>
      </c>
      <c r="H423">
        <v>170823</v>
      </c>
      <c r="I423">
        <v>0</v>
      </c>
    </row>
    <row r="424" spans="1:9" x14ac:dyDescent="0.2">
      <c r="A424">
        <v>4</v>
      </c>
      <c r="B424">
        <v>99</v>
      </c>
      <c r="C424">
        <v>20</v>
      </c>
      <c r="D424">
        <v>2005</v>
      </c>
      <c r="E424">
        <v>1</v>
      </c>
      <c r="F424">
        <v>2501833</v>
      </c>
      <c r="G424">
        <v>591853177</v>
      </c>
      <c r="H424">
        <v>177193</v>
      </c>
      <c r="I424">
        <v>0</v>
      </c>
    </row>
    <row r="425" spans="1:9" x14ac:dyDescent="0.2">
      <c r="A425">
        <v>4</v>
      </c>
      <c r="B425">
        <v>99</v>
      </c>
      <c r="C425">
        <v>20</v>
      </c>
      <c r="D425">
        <v>2005</v>
      </c>
      <c r="E425">
        <v>2</v>
      </c>
      <c r="F425">
        <v>2522905</v>
      </c>
      <c r="G425">
        <v>544320272</v>
      </c>
      <c r="H425">
        <v>174190</v>
      </c>
      <c r="I425">
        <v>0</v>
      </c>
    </row>
    <row r="426" spans="1:9" x14ac:dyDescent="0.2">
      <c r="A426">
        <v>4</v>
      </c>
      <c r="B426">
        <v>99</v>
      </c>
      <c r="C426">
        <v>20</v>
      </c>
      <c r="D426">
        <v>2005</v>
      </c>
      <c r="E426">
        <v>3</v>
      </c>
      <c r="F426">
        <v>2543098</v>
      </c>
      <c r="G426">
        <v>548182481</v>
      </c>
      <c r="H426">
        <v>174900</v>
      </c>
      <c r="I426">
        <v>0</v>
      </c>
    </row>
    <row r="427" spans="1:9" x14ac:dyDescent="0.2">
      <c r="A427">
        <v>4</v>
      </c>
      <c r="B427">
        <v>99</v>
      </c>
      <c r="C427">
        <v>20</v>
      </c>
      <c r="D427">
        <v>2005</v>
      </c>
      <c r="E427">
        <v>4</v>
      </c>
      <c r="F427">
        <v>2555801</v>
      </c>
      <c r="G427">
        <v>564061566</v>
      </c>
      <c r="H427">
        <v>171753</v>
      </c>
      <c r="I427">
        <v>0</v>
      </c>
    </row>
    <row r="428" spans="1:9" x14ac:dyDescent="0.2">
      <c r="A428">
        <v>4</v>
      </c>
      <c r="B428">
        <v>99</v>
      </c>
      <c r="C428">
        <v>20</v>
      </c>
      <c r="D428">
        <v>2006</v>
      </c>
      <c r="E428">
        <v>1</v>
      </c>
      <c r="F428">
        <v>2561257</v>
      </c>
      <c r="G428">
        <v>628935632</v>
      </c>
      <c r="H428">
        <v>181196</v>
      </c>
      <c r="I428">
        <v>0</v>
      </c>
    </row>
    <row r="429" spans="1:9" x14ac:dyDescent="0.2">
      <c r="A429">
        <v>4</v>
      </c>
      <c r="B429">
        <v>99</v>
      </c>
      <c r="C429">
        <v>20</v>
      </c>
      <c r="D429">
        <v>2006</v>
      </c>
      <c r="E429">
        <v>2</v>
      </c>
      <c r="F429">
        <v>2587151</v>
      </c>
      <c r="G429">
        <v>575579756</v>
      </c>
      <c r="H429">
        <v>172298</v>
      </c>
      <c r="I429">
        <v>0</v>
      </c>
    </row>
    <row r="430" spans="1:9" x14ac:dyDescent="0.2">
      <c r="A430">
        <v>4</v>
      </c>
      <c r="B430">
        <v>99</v>
      </c>
      <c r="C430">
        <v>20</v>
      </c>
      <c r="D430">
        <v>2006</v>
      </c>
      <c r="E430">
        <v>3</v>
      </c>
      <c r="F430">
        <v>2606759</v>
      </c>
      <c r="G430">
        <v>564209266</v>
      </c>
      <c r="H430">
        <v>173374</v>
      </c>
      <c r="I430">
        <v>0</v>
      </c>
    </row>
    <row r="431" spans="1:9" x14ac:dyDescent="0.2">
      <c r="A431">
        <v>4</v>
      </c>
      <c r="B431">
        <v>99</v>
      </c>
      <c r="C431">
        <v>20</v>
      </c>
      <c r="D431">
        <v>2006</v>
      </c>
      <c r="E431">
        <v>4</v>
      </c>
      <c r="F431">
        <v>2620257</v>
      </c>
      <c r="G431">
        <v>589818216</v>
      </c>
      <c r="H431">
        <v>172467</v>
      </c>
      <c r="I431">
        <v>0</v>
      </c>
    </row>
    <row r="432" spans="1:9" x14ac:dyDescent="0.2">
      <c r="A432">
        <v>4</v>
      </c>
      <c r="B432">
        <v>99</v>
      </c>
      <c r="C432">
        <v>20</v>
      </c>
      <c r="D432">
        <v>2007</v>
      </c>
      <c r="E432">
        <v>1</v>
      </c>
      <c r="F432">
        <v>2631931</v>
      </c>
      <c r="G432">
        <v>644312856</v>
      </c>
      <c r="H432">
        <v>181644</v>
      </c>
      <c r="I432">
        <v>0</v>
      </c>
    </row>
    <row r="433" spans="1:9" x14ac:dyDescent="0.2">
      <c r="A433">
        <v>4</v>
      </c>
      <c r="B433">
        <v>99</v>
      </c>
      <c r="C433">
        <v>20</v>
      </c>
      <c r="D433">
        <v>2007</v>
      </c>
      <c r="E433">
        <v>2</v>
      </c>
      <c r="F433">
        <v>2664304</v>
      </c>
      <c r="G433">
        <v>584226685</v>
      </c>
      <c r="H433">
        <v>175049</v>
      </c>
      <c r="I433">
        <v>0</v>
      </c>
    </row>
    <row r="434" spans="1:9" x14ac:dyDescent="0.2">
      <c r="A434">
        <v>4</v>
      </c>
      <c r="B434">
        <v>99</v>
      </c>
      <c r="C434">
        <v>20</v>
      </c>
      <c r="D434">
        <v>2007</v>
      </c>
      <c r="E434">
        <v>3</v>
      </c>
      <c r="F434">
        <v>2685830</v>
      </c>
      <c r="G434">
        <v>595876840</v>
      </c>
      <c r="H434">
        <v>177060</v>
      </c>
      <c r="I434">
        <v>0</v>
      </c>
    </row>
    <row r="435" spans="1:9" x14ac:dyDescent="0.2">
      <c r="A435">
        <v>4</v>
      </c>
      <c r="B435">
        <v>99</v>
      </c>
      <c r="C435">
        <v>20</v>
      </c>
      <c r="D435">
        <v>2007</v>
      </c>
      <c r="E435">
        <v>4</v>
      </c>
      <c r="F435">
        <v>2690401</v>
      </c>
      <c r="G435">
        <v>623285830</v>
      </c>
      <c r="H435">
        <v>179665</v>
      </c>
      <c r="I435">
        <v>0</v>
      </c>
    </row>
    <row r="436" spans="1:9" x14ac:dyDescent="0.2">
      <c r="A436">
        <v>4</v>
      </c>
      <c r="B436">
        <v>99</v>
      </c>
      <c r="C436">
        <v>20</v>
      </c>
      <c r="D436">
        <v>2008</v>
      </c>
      <c r="E436">
        <v>1</v>
      </c>
      <c r="F436">
        <v>2701672</v>
      </c>
      <c r="G436">
        <v>668597717</v>
      </c>
      <c r="H436">
        <v>182516</v>
      </c>
      <c r="I436">
        <v>0</v>
      </c>
    </row>
    <row r="437" spans="1:9" x14ac:dyDescent="0.2">
      <c r="A437">
        <v>4</v>
      </c>
      <c r="B437">
        <v>99</v>
      </c>
      <c r="C437">
        <v>20</v>
      </c>
      <c r="D437">
        <v>2008</v>
      </c>
      <c r="E437">
        <v>2</v>
      </c>
      <c r="F437">
        <v>2717382</v>
      </c>
      <c r="G437">
        <v>577397137</v>
      </c>
      <c r="H437">
        <v>172662</v>
      </c>
      <c r="I437">
        <v>0</v>
      </c>
    </row>
    <row r="438" spans="1:9" x14ac:dyDescent="0.2">
      <c r="A438">
        <v>4</v>
      </c>
      <c r="B438">
        <v>99</v>
      </c>
      <c r="C438">
        <v>20</v>
      </c>
      <c r="D438">
        <v>2008</v>
      </c>
      <c r="E438">
        <v>3</v>
      </c>
      <c r="F438">
        <v>2736470</v>
      </c>
      <c r="G438">
        <v>537951466</v>
      </c>
      <c r="H438">
        <v>166635</v>
      </c>
      <c r="I438">
        <v>0</v>
      </c>
    </row>
    <row r="439" spans="1:9" x14ac:dyDescent="0.2">
      <c r="A439">
        <v>4</v>
      </c>
      <c r="B439">
        <v>99</v>
      </c>
      <c r="C439">
        <v>20</v>
      </c>
      <c r="D439">
        <v>2008</v>
      </c>
      <c r="E439">
        <v>4</v>
      </c>
      <c r="F439">
        <v>2742571</v>
      </c>
      <c r="G439">
        <v>574904534</v>
      </c>
      <c r="H439">
        <v>164898</v>
      </c>
      <c r="I439">
        <v>0</v>
      </c>
    </row>
    <row r="440" spans="1:9" x14ac:dyDescent="0.2">
      <c r="A440">
        <v>4</v>
      </c>
      <c r="B440">
        <v>99</v>
      </c>
      <c r="C440">
        <v>20</v>
      </c>
      <c r="D440">
        <v>2009</v>
      </c>
      <c r="E440">
        <v>1</v>
      </c>
      <c r="F440">
        <v>2737164</v>
      </c>
      <c r="G440">
        <v>628162431</v>
      </c>
      <c r="H440">
        <v>173324</v>
      </c>
      <c r="I440">
        <v>0</v>
      </c>
    </row>
    <row r="441" spans="1:9" x14ac:dyDescent="0.2">
      <c r="A441">
        <v>90</v>
      </c>
      <c r="B441">
        <v>99</v>
      </c>
      <c r="C441">
        <v>20</v>
      </c>
      <c r="D441">
        <v>2004</v>
      </c>
      <c r="E441">
        <v>1</v>
      </c>
      <c r="F441">
        <v>21213886</v>
      </c>
      <c r="G441">
        <v>4097239784</v>
      </c>
      <c r="H441">
        <v>1423561</v>
      </c>
      <c r="I441">
        <v>0</v>
      </c>
    </row>
    <row r="442" spans="1:9" x14ac:dyDescent="0.2">
      <c r="A442">
        <v>90</v>
      </c>
      <c r="B442">
        <v>99</v>
      </c>
      <c r="C442">
        <v>20</v>
      </c>
      <c r="D442">
        <v>2004</v>
      </c>
      <c r="E442">
        <v>2</v>
      </c>
      <c r="F442">
        <v>21554061</v>
      </c>
      <c r="G442">
        <v>3310145216</v>
      </c>
      <c r="H442">
        <v>1258708</v>
      </c>
      <c r="I442">
        <v>0</v>
      </c>
    </row>
    <row r="443" spans="1:9" x14ac:dyDescent="0.2">
      <c r="A443">
        <v>90</v>
      </c>
      <c r="B443">
        <v>99</v>
      </c>
      <c r="C443">
        <v>20</v>
      </c>
      <c r="D443">
        <v>2004</v>
      </c>
      <c r="E443">
        <v>3</v>
      </c>
      <c r="F443">
        <v>21676368</v>
      </c>
      <c r="G443">
        <v>3482595271</v>
      </c>
      <c r="H443">
        <v>1260917</v>
      </c>
      <c r="I443">
        <v>0</v>
      </c>
    </row>
    <row r="444" spans="1:9" x14ac:dyDescent="0.2">
      <c r="A444">
        <v>90</v>
      </c>
      <c r="B444">
        <v>99</v>
      </c>
      <c r="C444">
        <v>20</v>
      </c>
      <c r="D444">
        <v>2004</v>
      </c>
      <c r="E444">
        <v>4</v>
      </c>
      <c r="F444">
        <v>21661675</v>
      </c>
      <c r="G444">
        <v>3633444933</v>
      </c>
      <c r="H444">
        <v>1259161</v>
      </c>
      <c r="I444">
        <v>0</v>
      </c>
    </row>
    <row r="445" spans="1:9" x14ac:dyDescent="0.2">
      <c r="A445">
        <v>90</v>
      </c>
      <c r="B445">
        <v>99</v>
      </c>
      <c r="C445">
        <v>20</v>
      </c>
      <c r="D445">
        <v>2005</v>
      </c>
      <c r="E445">
        <v>1</v>
      </c>
      <c r="F445">
        <v>21659245</v>
      </c>
      <c r="G445">
        <v>4203922293</v>
      </c>
      <c r="H445">
        <v>1397660</v>
      </c>
      <c r="I445">
        <v>0</v>
      </c>
    </row>
    <row r="446" spans="1:9" x14ac:dyDescent="0.2">
      <c r="A446">
        <v>90</v>
      </c>
      <c r="B446">
        <v>99</v>
      </c>
      <c r="C446">
        <v>20</v>
      </c>
      <c r="D446">
        <v>2005</v>
      </c>
      <c r="E446">
        <v>2</v>
      </c>
      <c r="F446">
        <v>21915333</v>
      </c>
      <c r="G446">
        <v>3515569603</v>
      </c>
      <c r="H446">
        <v>1271860</v>
      </c>
      <c r="I446">
        <v>0</v>
      </c>
    </row>
    <row r="447" spans="1:9" x14ac:dyDescent="0.2">
      <c r="A447">
        <v>90</v>
      </c>
      <c r="B447">
        <v>99</v>
      </c>
      <c r="C447">
        <v>20</v>
      </c>
      <c r="D447">
        <v>2005</v>
      </c>
      <c r="E447">
        <v>3</v>
      </c>
      <c r="F447">
        <v>22091650</v>
      </c>
      <c r="G447">
        <v>3588752326</v>
      </c>
      <c r="H447">
        <v>1276133</v>
      </c>
      <c r="I447">
        <v>0</v>
      </c>
    </row>
    <row r="448" spans="1:9" x14ac:dyDescent="0.2">
      <c r="A448">
        <v>90</v>
      </c>
      <c r="B448">
        <v>99</v>
      </c>
      <c r="C448">
        <v>20</v>
      </c>
      <c r="D448">
        <v>2005</v>
      </c>
      <c r="E448">
        <v>4</v>
      </c>
      <c r="F448">
        <v>22083615</v>
      </c>
      <c r="G448">
        <v>3789248601</v>
      </c>
      <c r="H448">
        <v>1262570</v>
      </c>
      <c r="I448">
        <v>0</v>
      </c>
    </row>
    <row r="449" spans="1:9" x14ac:dyDescent="0.2">
      <c r="A449">
        <v>90</v>
      </c>
      <c r="B449">
        <v>99</v>
      </c>
      <c r="C449">
        <v>20</v>
      </c>
      <c r="D449">
        <v>2006</v>
      </c>
      <c r="E449">
        <v>1</v>
      </c>
      <c r="F449">
        <v>22081351</v>
      </c>
      <c r="G449">
        <v>4201261216</v>
      </c>
      <c r="H449">
        <v>1353967</v>
      </c>
      <c r="I449">
        <v>0</v>
      </c>
    </row>
    <row r="450" spans="1:9" x14ac:dyDescent="0.2">
      <c r="A450">
        <v>90</v>
      </c>
      <c r="B450">
        <v>99</v>
      </c>
      <c r="C450">
        <v>20</v>
      </c>
      <c r="D450">
        <v>2006</v>
      </c>
      <c r="E450">
        <v>2</v>
      </c>
      <c r="F450">
        <v>22371687</v>
      </c>
      <c r="G450">
        <v>3568780618</v>
      </c>
      <c r="H450">
        <v>1241668</v>
      </c>
      <c r="I450">
        <v>0</v>
      </c>
    </row>
    <row r="451" spans="1:9" x14ac:dyDescent="0.2">
      <c r="A451">
        <v>90</v>
      </c>
      <c r="B451">
        <v>99</v>
      </c>
      <c r="C451">
        <v>20</v>
      </c>
      <c r="D451">
        <v>2006</v>
      </c>
      <c r="E451">
        <v>3</v>
      </c>
      <c r="F451">
        <v>22518155</v>
      </c>
      <c r="G451">
        <v>3639772090</v>
      </c>
      <c r="H451">
        <v>1252023</v>
      </c>
      <c r="I451">
        <v>0</v>
      </c>
    </row>
    <row r="452" spans="1:9" x14ac:dyDescent="0.2">
      <c r="A452">
        <v>90</v>
      </c>
      <c r="B452">
        <v>99</v>
      </c>
      <c r="C452">
        <v>20</v>
      </c>
      <c r="D452">
        <v>2006</v>
      </c>
      <c r="E452">
        <v>4</v>
      </c>
      <c r="F452">
        <v>22496683</v>
      </c>
      <c r="G452">
        <v>3883668218</v>
      </c>
      <c r="H452">
        <v>1270433</v>
      </c>
      <c r="I452">
        <v>0</v>
      </c>
    </row>
    <row r="453" spans="1:9" x14ac:dyDescent="0.2">
      <c r="A453">
        <v>90</v>
      </c>
      <c r="B453">
        <v>99</v>
      </c>
      <c r="C453">
        <v>20</v>
      </c>
      <c r="D453">
        <v>2007</v>
      </c>
      <c r="E453">
        <v>1</v>
      </c>
      <c r="F453">
        <v>22508657</v>
      </c>
      <c r="G453">
        <v>4403181414</v>
      </c>
      <c r="H453">
        <v>1415679</v>
      </c>
      <c r="I453">
        <v>0</v>
      </c>
    </row>
    <row r="454" spans="1:9" x14ac:dyDescent="0.2">
      <c r="A454">
        <v>90</v>
      </c>
      <c r="B454">
        <v>99</v>
      </c>
      <c r="C454">
        <v>20</v>
      </c>
      <c r="D454">
        <v>2007</v>
      </c>
      <c r="E454">
        <v>2</v>
      </c>
      <c r="F454">
        <v>22796619</v>
      </c>
      <c r="G454">
        <v>3734247213</v>
      </c>
      <c r="H454">
        <v>1304540</v>
      </c>
      <c r="I454">
        <v>0</v>
      </c>
    </row>
    <row r="455" spans="1:9" x14ac:dyDescent="0.2">
      <c r="A455">
        <v>90</v>
      </c>
      <c r="B455">
        <v>99</v>
      </c>
      <c r="C455">
        <v>20</v>
      </c>
      <c r="D455">
        <v>2007</v>
      </c>
      <c r="E455">
        <v>3</v>
      </c>
      <c r="F455">
        <v>22928488</v>
      </c>
      <c r="G455">
        <v>3774113971</v>
      </c>
      <c r="H455">
        <v>1292409</v>
      </c>
      <c r="I455">
        <v>0</v>
      </c>
    </row>
    <row r="456" spans="1:9" x14ac:dyDescent="0.2">
      <c r="A456">
        <v>90</v>
      </c>
      <c r="B456">
        <v>99</v>
      </c>
      <c r="C456">
        <v>20</v>
      </c>
      <c r="D456">
        <v>2007</v>
      </c>
      <c r="E456">
        <v>4</v>
      </c>
      <c r="F456">
        <v>22892170</v>
      </c>
      <c r="G456">
        <v>4044878882</v>
      </c>
      <c r="H456">
        <v>1324389</v>
      </c>
      <c r="I456">
        <v>0</v>
      </c>
    </row>
    <row r="457" spans="1:9" x14ac:dyDescent="0.2">
      <c r="A457">
        <v>90</v>
      </c>
      <c r="B457">
        <v>99</v>
      </c>
      <c r="C457">
        <v>20</v>
      </c>
      <c r="D457">
        <v>2008</v>
      </c>
      <c r="E457">
        <v>1</v>
      </c>
      <c r="F457">
        <v>22901544</v>
      </c>
      <c r="G457">
        <v>4615999083</v>
      </c>
      <c r="H457">
        <v>1442588</v>
      </c>
      <c r="I457">
        <v>0</v>
      </c>
    </row>
    <row r="458" spans="1:9" x14ac:dyDescent="0.2">
      <c r="A458">
        <v>90</v>
      </c>
      <c r="B458">
        <v>99</v>
      </c>
      <c r="C458">
        <v>20</v>
      </c>
      <c r="D458">
        <v>2008</v>
      </c>
      <c r="E458">
        <v>2</v>
      </c>
      <c r="F458">
        <v>23118006</v>
      </c>
      <c r="G458">
        <v>3681709886</v>
      </c>
      <c r="H458">
        <v>1298627</v>
      </c>
      <c r="I458">
        <v>0</v>
      </c>
    </row>
    <row r="459" spans="1:9" x14ac:dyDescent="0.2">
      <c r="A459">
        <v>90</v>
      </c>
      <c r="B459">
        <v>99</v>
      </c>
      <c r="C459">
        <v>20</v>
      </c>
      <c r="D459">
        <v>2008</v>
      </c>
      <c r="E459">
        <v>3</v>
      </c>
      <c r="F459">
        <v>23196936</v>
      </c>
      <c r="G459">
        <v>3604982528</v>
      </c>
      <c r="H459">
        <v>1260910</v>
      </c>
      <c r="I459">
        <v>0</v>
      </c>
    </row>
    <row r="460" spans="1:9" x14ac:dyDescent="0.2">
      <c r="A460">
        <v>90</v>
      </c>
      <c r="B460">
        <v>99</v>
      </c>
      <c r="C460">
        <v>20</v>
      </c>
      <c r="D460">
        <v>2008</v>
      </c>
      <c r="E460">
        <v>4</v>
      </c>
      <c r="F460">
        <v>23055159</v>
      </c>
      <c r="G460">
        <v>3913429448</v>
      </c>
      <c r="H460">
        <v>1262338</v>
      </c>
      <c r="I460">
        <v>0</v>
      </c>
    </row>
    <row r="461" spans="1:9" x14ac:dyDescent="0.2">
      <c r="A461">
        <v>90</v>
      </c>
      <c r="B461">
        <v>99</v>
      </c>
      <c r="C461">
        <v>20</v>
      </c>
      <c r="D461">
        <v>2009</v>
      </c>
      <c r="E461">
        <v>1</v>
      </c>
      <c r="F461">
        <v>22908815</v>
      </c>
      <c r="G461">
        <v>4414462320</v>
      </c>
      <c r="H461">
        <v>1419623</v>
      </c>
      <c r="I461">
        <v>0</v>
      </c>
    </row>
    <row r="463" spans="1:9" x14ac:dyDescent="0.2">
      <c r="A463" t="s">
        <v>698</v>
      </c>
    </row>
    <row r="464" spans="1:9" x14ac:dyDescent="0.2">
      <c r="A464" t="s">
        <v>689</v>
      </c>
      <c r="B464" t="s">
        <v>690</v>
      </c>
      <c r="C464" t="s">
        <v>691</v>
      </c>
      <c r="D464" t="s">
        <v>6</v>
      </c>
      <c r="E464" t="s">
        <v>12</v>
      </c>
      <c r="F464" t="s">
        <v>92</v>
      </c>
      <c r="G464" t="s">
        <v>95</v>
      </c>
      <c r="H464" t="s">
        <v>93</v>
      </c>
      <c r="I464" t="s">
        <v>94</v>
      </c>
    </row>
    <row r="465" spans="1:9" x14ac:dyDescent="0.2">
      <c r="A465">
        <v>90</v>
      </c>
      <c r="B465">
        <v>99</v>
      </c>
      <c r="C465">
        <v>79</v>
      </c>
      <c r="D465">
        <v>2004</v>
      </c>
      <c r="E465">
        <v>1</v>
      </c>
      <c r="F465">
        <v>758989</v>
      </c>
      <c r="G465">
        <v>9748318</v>
      </c>
      <c r="H465">
        <v>5727</v>
      </c>
      <c r="I465">
        <v>0</v>
      </c>
    </row>
    <row r="466" spans="1:9" x14ac:dyDescent="0.2">
      <c r="A466">
        <v>90</v>
      </c>
      <c r="B466">
        <v>99</v>
      </c>
      <c r="C466">
        <v>79</v>
      </c>
      <c r="D466">
        <v>2004</v>
      </c>
      <c r="E466">
        <v>2</v>
      </c>
      <c r="F466">
        <v>770330</v>
      </c>
      <c r="G466">
        <v>10160344</v>
      </c>
      <c r="H466">
        <v>4994</v>
      </c>
      <c r="I466">
        <v>0</v>
      </c>
    </row>
    <row r="467" spans="1:9" x14ac:dyDescent="0.2">
      <c r="A467">
        <v>90</v>
      </c>
      <c r="B467">
        <v>99</v>
      </c>
      <c r="C467">
        <v>79</v>
      </c>
      <c r="D467">
        <v>2004</v>
      </c>
      <c r="E467">
        <v>3</v>
      </c>
      <c r="F467">
        <v>772925</v>
      </c>
      <c r="G467">
        <v>9019500</v>
      </c>
      <c r="H467">
        <v>5135</v>
      </c>
      <c r="I467">
        <v>0</v>
      </c>
    </row>
    <row r="468" spans="1:9" x14ac:dyDescent="0.2">
      <c r="A468">
        <v>90</v>
      </c>
      <c r="B468">
        <v>99</v>
      </c>
      <c r="C468">
        <v>79</v>
      </c>
      <c r="D468">
        <v>2004</v>
      </c>
      <c r="E468">
        <v>4</v>
      </c>
      <c r="F468">
        <v>756984</v>
      </c>
      <c r="G468">
        <v>8550019</v>
      </c>
      <c r="H468">
        <v>4726</v>
      </c>
      <c r="I468">
        <v>0</v>
      </c>
    </row>
    <row r="469" spans="1:9" x14ac:dyDescent="0.2">
      <c r="A469">
        <v>90</v>
      </c>
      <c r="B469">
        <v>99</v>
      </c>
      <c r="C469">
        <v>79</v>
      </c>
      <c r="D469">
        <v>2005</v>
      </c>
      <c r="E469">
        <v>1</v>
      </c>
      <c r="F469">
        <v>742005</v>
      </c>
      <c r="G469">
        <v>10165601</v>
      </c>
      <c r="H469">
        <v>5498</v>
      </c>
      <c r="I469">
        <v>0</v>
      </c>
    </row>
    <row r="470" spans="1:9" x14ac:dyDescent="0.2">
      <c r="A470">
        <v>90</v>
      </c>
      <c r="B470">
        <v>99</v>
      </c>
      <c r="C470">
        <v>79</v>
      </c>
      <c r="D470">
        <v>2005</v>
      </c>
      <c r="E470">
        <v>2</v>
      </c>
      <c r="F470">
        <v>754305</v>
      </c>
      <c r="G470">
        <v>9393643</v>
      </c>
      <c r="H470">
        <v>5327</v>
      </c>
      <c r="I470">
        <v>0</v>
      </c>
    </row>
    <row r="471" spans="1:9" x14ac:dyDescent="0.2">
      <c r="A471">
        <v>90</v>
      </c>
      <c r="B471">
        <v>99</v>
      </c>
      <c r="C471">
        <v>79</v>
      </c>
      <c r="D471">
        <v>2005</v>
      </c>
      <c r="E471">
        <v>3</v>
      </c>
      <c r="F471">
        <v>757716</v>
      </c>
      <c r="G471">
        <v>8912026</v>
      </c>
      <c r="H471">
        <v>5167</v>
      </c>
      <c r="I471">
        <v>0</v>
      </c>
    </row>
    <row r="472" spans="1:9" x14ac:dyDescent="0.2">
      <c r="A472">
        <v>90</v>
      </c>
      <c r="B472">
        <v>99</v>
      </c>
      <c r="C472">
        <v>79</v>
      </c>
      <c r="D472">
        <v>2005</v>
      </c>
      <c r="E472">
        <v>4</v>
      </c>
      <c r="F472">
        <v>740504</v>
      </c>
      <c r="G472">
        <v>7934043</v>
      </c>
      <c r="H472">
        <v>4354</v>
      </c>
      <c r="I472">
        <v>0</v>
      </c>
    </row>
    <row r="473" spans="1:9" x14ac:dyDescent="0.2">
      <c r="A473">
        <v>90</v>
      </c>
      <c r="B473">
        <v>99</v>
      </c>
      <c r="C473">
        <v>79</v>
      </c>
      <c r="D473">
        <v>2006</v>
      </c>
      <c r="E473">
        <v>1</v>
      </c>
      <c r="F473">
        <v>726739</v>
      </c>
      <c r="G473">
        <v>10829575</v>
      </c>
      <c r="H473">
        <v>5257</v>
      </c>
      <c r="I473">
        <v>0</v>
      </c>
    </row>
    <row r="474" spans="1:9" x14ac:dyDescent="0.2">
      <c r="A474">
        <v>90</v>
      </c>
      <c r="B474">
        <v>99</v>
      </c>
      <c r="C474">
        <v>79</v>
      </c>
      <c r="D474">
        <v>2006</v>
      </c>
      <c r="E474">
        <v>2</v>
      </c>
      <c r="F474">
        <v>736741</v>
      </c>
      <c r="G474">
        <v>9369279</v>
      </c>
      <c r="H474">
        <v>4569</v>
      </c>
      <c r="I474">
        <v>0</v>
      </c>
    </row>
    <row r="475" spans="1:9" x14ac:dyDescent="0.2">
      <c r="A475">
        <v>90</v>
      </c>
      <c r="B475">
        <v>99</v>
      </c>
      <c r="C475">
        <v>79</v>
      </c>
      <c r="D475">
        <v>2006</v>
      </c>
      <c r="E475">
        <v>3</v>
      </c>
      <c r="F475">
        <v>735225</v>
      </c>
      <c r="G475">
        <v>9279617</v>
      </c>
      <c r="H475">
        <v>4916</v>
      </c>
      <c r="I475">
        <v>0</v>
      </c>
    </row>
    <row r="476" spans="1:9" x14ac:dyDescent="0.2">
      <c r="A476">
        <v>90</v>
      </c>
      <c r="B476">
        <v>99</v>
      </c>
      <c r="C476">
        <v>79</v>
      </c>
      <c r="D476">
        <v>2006</v>
      </c>
      <c r="E476">
        <v>4</v>
      </c>
      <c r="F476">
        <v>715330</v>
      </c>
      <c r="G476">
        <v>8749571</v>
      </c>
      <c r="H476">
        <v>4334</v>
      </c>
      <c r="I476">
        <v>0</v>
      </c>
    </row>
    <row r="477" spans="1:9" x14ac:dyDescent="0.2">
      <c r="A477">
        <v>90</v>
      </c>
      <c r="B477">
        <v>99</v>
      </c>
      <c r="C477">
        <v>79</v>
      </c>
      <c r="D477">
        <v>2007</v>
      </c>
      <c r="E477">
        <v>1</v>
      </c>
      <c r="F477">
        <v>705201</v>
      </c>
      <c r="G477">
        <v>8642904</v>
      </c>
      <c r="H477">
        <v>4713</v>
      </c>
      <c r="I477">
        <v>0</v>
      </c>
    </row>
    <row r="478" spans="1:9" x14ac:dyDescent="0.2">
      <c r="A478">
        <v>90</v>
      </c>
      <c r="B478">
        <v>99</v>
      </c>
      <c r="C478">
        <v>79</v>
      </c>
      <c r="D478">
        <v>2007</v>
      </c>
      <c r="E478">
        <v>2</v>
      </c>
      <c r="F478">
        <v>719780</v>
      </c>
      <c r="G478">
        <v>8534598</v>
      </c>
      <c r="H478">
        <v>4588</v>
      </c>
      <c r="I478">
        <v>0</v>
      </c>
    </row>
    <row r="479" spans="1:9" x14ac:dyDescent="0.2">
      <c r="A479">
        <v>90</v>
      </c>
      <c r="B479">
        <v>99</v>
      </c>
      <c r="C479">
        <v>79</v>
      </c>
      <c r="D479">
        <v>2007</v>
      </c>
      <c r="E479">
        <v>3</v>
      </c>
      <c r="F479">
        <v>724502</v>
      </c>
      <c r="G479">
        <v>8449305</v>
      </c>
      <c r="H479">
        <v>4806</v>
      </c>
      <c r="I479">
        <v>0</v>
      </c>
    </row>
    <row r="480" spans="1:9" x14ac:dyDescent="0.2">
      <c r="A480">
        <v>90</v>
      </c>
      <c r="B480">
        <v>99</v>
      </c>
      <c r="C480">
        <v>79</v>
      </c>
      <c r="D480">
        <v>2007</v>
      </c>
      <c r="E480">
        <v>4</v>
      </c>
      <c r="F480">
        <v>710444</v>
      </c>
      <c r="G480">
        <v>8728830</v>
      </c>
      <c r="H480">
        <v>4904</v>
      </c>
      <c r="I480">
        <v>0</v>
      </c>
    </row>
    <row r="481" spans="1:9" x14ac:dyDescent="0.2">
      <c r="A481">
        <v>90</v>
      </c>
      <c r="B481">
        <v>99</v>
      </c>
      <c r="C481">
        <v>79</v>
      </c>
      <c r="D481">
        <v>2008</v>
      </c>
      <c r="E481">
        <v>1</v>
      </c>
      <c r="F481">
        <v>707356</v>
      </c>
      <c r="G481">
        <v>9664423</v>
      </c>
      <c r="H481">
        <v>5392</v>
      </c>
      <c r="I481">
        <v>0</v>
      </c>
    </row>
    <row r="482" spans="1:9" x14ac:dyDescent="0.2">
      <c r="A482">
        <v>90</v>
      </c>
      <c r="B482">
        <v>99</v>
      </c>
      <c r="C482">
        <v>79</v>
      </c>
      <c r="D482">
        <v>2008</v>
      </c>
      <c r="E482">
        <v>2</v>
      </c>
      <c r="F482">
        <v>723460</v>
      </c>
      <c r="G482">
        <v>8607173</v>
      </c>
      <c r="H482">
        <v>5051</v>
      </c>
      <c r="I482">
        <v>0</v>
      </c>
    </row>
    <row r="483" spans="1:9" x14ac:dyDescent="0.2">
      <c r="A483">
        <v>90</v>
      </c>
      <c r="B483">
        <v>99</v>
      </c>
      <c r="C483">
        <v>79</v>
      </c>
      <c r="D483">
        <v>2008</v>
      </c>
      <c r="E483">
        <v>3</v>
      </c>
      <c r="F483">
        <v>728499</v>
      </c>
      <c r="G483">
        <v>9469623</v>
      </c>
      <c r="H483">
        <v>4968</v>
      </c>
      <c r="I483">
        <v>0</v>
      </c>
    </row>
    <row r="484" spans="1:9" x14ac:dyDescent="0.2">
      <c r="A484">
        <v>90</v>
      </c>
      <c r="B484">
        <v>99</v>
      </c>
      <c r="C484">
        <v>79</v>
      </c>
      <c r="D484">
        <v>2008</v>
      </c>
      <c r="E484">
        <v>4</v>
      </c>
      <c r="F484">
        <v>711878</v>
      </c>
      <c r="G484">
        <v>7927553</v>
      </c>
      <c r="H484">
        <v>4471</v>
      </c>
      <c r="I484">
        <v>0</v>
      </c>
    </row>
    <row r="485" spans="1:9" x14ac:dyDescent="0.2">
      <c r="A485">
        <v>90</v>
      </c>
      <c r="B485">
        <v>99</v>
      </c>
      <c r="C485">
        <v>79</v>
      </c>
      <c r="D485">
        <v>2009</v>
      </c>
      <c r="E485">
        <v>1</v>
      </c>
      <c r="F485">
        <v>704048</v>
      </c>
      <c r="G485">
        <v>9873065</v>
      </c>
      <c r="H485">
        <v>5772</v>
      </c>
      <c r="I485">
        <v>0</v>
      </c>
    </row>
    <row r="487" spans="1:9" x14ac:dyDescent="0.2">
      <c r="A487" t="s">
        <v>699</v>
      </c>
    </row>
    <row r="488" spans="1:9" x14ac:dyDescent="0.2">
      <c r="A488" t="s">
        <v>689</v>
      </c>
      <c r="B488" t="s">
        <v>690</v>
      </c>
      <c r="C488" t="s">
        <v>691</v>
      </c>
      <c r="D488" t="s">
        <v>6</v>
      </c>
      <c r="E488" t="s">
        <v>12</v>
      </c>
      <c r="F488" t="s">
        <v>92</v>
      </c>
      <c r="G488" t="s">
        <v>95</v>
      </c>
      <c r="H488" t="s">
        <v>93</v>
      </c>
      <c r="I488" t="s">
        <v>94</v>
      </c>
    </row>
    <row r="489" spans="1:9" x14ac:dyDescent="0.2">
      <c r="A489">
        <v>90</v>
      </c>
      <c r="B489">
        <v>99</v>
      </c>
      <c r="C489">
        <v>81</v>
      </c>
      <c r="D489">
        <v>2004</v>
      </c>
      <c r="E489">
        <v>1</v>
      </c>
      <c r="F489">
        <v>5931638</v>
      </c>
      <c r="G489">
        <v>714107498</v>
      </c>
      <c r="H489">
        <v>105274</v>
      </c>
      <c r="I489">
        <v>138799</v>
      </c>
    </row>
    <row r="490" spans="1:9" x14ac:dyDescent="0.2">
      <c r="A490">
        <v>90</v>
      </c>
      <c r="B490">
        <v>99</v>
      </c>
      <c r="C490">
        <v>81</v>
      </c>
      <c r="D490">
        <v>2004</v>
      </c>
      <c r="E490">
        <v>2</v>
      </c>
      <c r="F490">
        <v>6015828</v>
      </c>
      <c r="G490">
        <v>682224278</v>
      </c>
      <c r="H490">
        <v>100269</v>
      </c>
      <c r="I490">
        <v>136075</v>
      </c>
    </row>
    <row r="491" spans="1:9" x14ac:dyDescent="0.2">
      <c r="A491">
        <v>90</v>
      </c>
      <c r="B491">
        <v>99</v>
      </c>
      <c r="C491">
        <v>81</v>
      </c>
      <c r="D491">
        <v>2004</v>
      </c>
      <c r="E491">
        <v>3</v>
      </c>
      <c r="F491">
        <v>6071562</v>
      </c>
      <c r="G491">
        <v>701545198</v>
      </c>
      <c r="H491">
        <v>100017</v>
      </c>
      <c r="I491">
        <v>138106</v>
      </c>
    </row>
    <row r="492" spans="1:9" x14ac:dyDescent="0.2">
      <c r="A492">
        <v>90</v>
      </c>
      <c r="B492">
        <v>99</v>
      </c>
      <c r="C492">
        <v>81</v>
      </c>
      <c r="D492">
        <v>2004</v>
      </c>
      <c r="E492">
        <v>4</v>
      </c>
      <c r="F492">
        <v>6074811</v>
      </c>
      <c r="G492">
        <v>655954305</v>
      </c>
      <c r="H492">
        <v>96578</v>
      </c>
      <c r="I492">
        <v>146715</v>
      </c>
    </row>
    <row r="493" spans="1:9" x14ac:dyDescent="0.2">
      <c r="A493">
        <v>90</v>
      </c>
      <c r="B493">
        <v>99</v>
      </c>
      <c r="C493">
        <v>81</v>
      </c>
      <c r="D493">
        <v>2005</v>
      </c>
      <c r="E493">
        <v>1</v>
      </c>
      <c r="F493">
        <v>6046297</v>
      </c>
      <c r="G493">
        <v>726810667</v>
      </c>
      <c r="H493">
        <v>98125</v>
      </c>
      <c r="I493">
        <v>139413</v>
      </c>
    </row>
    <row r="494" spans="1:9" x14ac:dyDescent="0.2">
      <c r="A494">
        <v>90</v>
      </c>
      <c r="B494">
        <v>99</v>
      </c>
      <c r="C494">
        <v>81</v>
      </c>
      <c r="D494">
        <v>2005</v>
      </c>
      <c r="E494">
        <v>2</v>
      </c>
      <c r="F494">
        <v>6123183</v>
      </c>
      <c r="G494">
        <v>711899664</v>
      </c>
      <c r="H494">
        <v>96158</v>
      </c>
      <c r="I494">
        <v>136123</v>
      </c>
    </row>
    <row r="495" spans="1:9" x14ac:dyDescent="0.2">
      <c r="A495">
        <v>90</v>
      </c>
      <c r="B495">
        <v>99</v>
      </c>
      <c r="C495">
        <v>81</v>
      </c>
      <c r="D495">
        <v>2005</v>
      </c>
      <c r="E495">
        <v>3</v>
      </c>
      <c r="F495">
        <v>6177629</v>
      </c>
      <c r="G495">
        <v>689070405</v>
      </c>
      <c r="H495">
        <v>99965</v>
      </c>
      <c r="I495">
        <v>133123</v>
      </c>
    </row>
    <row r="496" spans="1:9" x14ac:dyDescent="0.2">
      <c r="A496">
        <v>90</v>
      </c>
      <c r="B496">
        <v>99</v>
      </c>
      <c r="C496">
        <v>81</v>
      </c>
      <c r="D496">
        <v>2005</v>
      </c>
      <c r="E496">
        <v>4</v>
      </c>
      <c r="F496">
        <v>6183884</v>
      </c>
      <c r="G496">
        <v>667121348</v>
      </c>
      <c r="H496">
        <v>94981</v>
      </c>
      <c r="I496">
        <v>136938</v>
      </c>
    </row>
    <row r="497" spans="1:9" x14ac:dyDescent="0.2">
      <c r="A497">
        <v>90</v>
      </c>
      <c r="B497">
        <v>99</v>
      </c>
      <c r="C497">
        <v>81</v>
      </c>
      <c r="D497">
        <v>2006</v>
      </c>
      <c r="E497">
        <v>1</v>
      </c>
      <c r="F497">
        <v>6169620</v>
      </c>
      <c r="G497">
        <v>715024899</v>
      </c>
      <c r="H497">
        <v>99726</v>
      </c>
      <c r="I497">
        <v>132215</v>
      </c>
    </row>
    <row r="498" spans="1:9" x14ac:dyDescent="0.2">
      <c r="A498">
        <v>90</v>
      </c>
      <c r="B498">
        <v>99</v>
      </c>
      <c r="C498">
        <v>81</v>
      </c>
      <c r="D498">
        <v>2006</v>
      </c>
      <c r="E498">
        <v>2</v>
      </c>
      <c r="F498">
        <v>6261689</v>
      </c>
      <c r="G498">
        <v>689620533</v>
      </c>
      <c r="H498">
        <v>95897</v>
      </c>
      <c r="I498">
        <v>128796</v>
      </c>
    </row>
    <row r="499" spans="1:9" x14ac:dyDescent="0.2">
      <c r="A499">
        <v>90</v>
      </c>
      <c r="B499">
        <v>99</v>
      </c>
      <c r="C499">
        <v>81</v>
      </c>
      <c r="D499">
        <v>2006</v>
      </c>
      <c r="E499">
        <v>3</v>
      </c>
      <c r="F499">
        <v>6310909</v>
      </c>
      <c r="G499">
        <v>671248052</v>
      </c>
      <c r="H499">
        <v>90683</v>
      </c>
      <c r="I499">
        <v>128357</v>
      </c>
    </row>
    <row r="500" spans="1:9" x14ac:dyDescent="0.2">
      <c r="A500">
        <v>90</v>
      </c>
      <c r="B500">
        <v>99</v>
      </c>
      <c r="C500">
        <v>81</v>
      </c>
      <c r="D500">
        <v>2006</v>
      </c>
      <c r="E500">
        <v>4</v>
      </c>
      <c r="F500">
        <v>6309852</v>
      </c>
      <c r="G500">
        <v>689406927</v>
      </c>
      <c r="H500">
        <v>89597</v>
      </c>
      <c r="I500">
        <v>135599</v>
      </c>
    </row>
    <row r="501" spans="1:9" x14ac:dyDescent="0.2">
      <c r="A501">
        <v>90</v>
      </c>
      <c r="B501">
        <v>99</v>
      </c>
      <c r="C501">
        <v>81</v>
      </c>
      <c r="D501">
        <v>2007</v>
      </c>
      <c r="E501">
        <v>1</v>
      </c>
      <c r="F501">
        <v>6299869</v>
      </c>
      <c r="G501">
        <v>723211706</v>
      </c>
      <c r="H501">
        <v>95122</v>
      </c>
      <c r="I501">
        <v>135214</v>
      </c>
    </row>
    <row r="502" spans="1:9" x14ac:dyDescent="0.2">
      <c r="A502">
        <v>90</v>
      </c>
      <c r="B502">
        <v>99</v>
      </c>
      <c r="C502">
        <v>81</v>
      </c>
      <c r="D502">
        <v>2007</v>
      </c>
      <c r="E502">
        <v>2</v>
      </c>
      <c r="F502">
        <v>6382792</v>
      </c>
      <c r="G502">
        <v>703391636</v>
      </c>
      <c r="H502">
        <v>92958</v>
      </c>
      <c r="I502">
        <v>129527</v>
      </c>
    </row>
    <row r="503" spans="1:9" x14ac:dyDescent="0.2">
      <c r="A503">
        <v>90</v>
      </c>
      <c r="B503">
        <v>99</v>
      </c>
      <c r="C503">
        <v>81</v>
      </c>
      <c r="D503">
        <v>2007</v>
      </c>
      <c r="E503">
        <v>3</v>
      </c>
      <c r="F503">
        <v>6427949</v>
      </c>
      <c r="G503">
        <v>704302239</v>
      </c>
      <c r="H503">
        <v>89031</v>
      </c>
      <c r="I503">
        <v>130273</v>
      </c>
    </row>
    <row r="504" spans="1:9" x14ac:dyDescent="0.2">
      <c r="A504">
        <v>90</v>
      </c>
      <c r="B504">
        <v>99</v>
      </c>
      <c r="C504">
        <v>81</v>
      </c>
      <c r="D504">
        <v>2007</v>
      </c>
      <c r="E504">
        <v>4</v>
      </c>
      <c r="F504">
        <v>6028694</v>
      </c>
      <c r="G504">
        <v>722442897</v>
      </c>
      <c r="H504">
        <v>88258</v>
      </c>
      <c r="I504">
        <v>134722</v>
      </c>
    </row>
    <row r="505" spans="1:9" x14ac:dyDescent="0.2">
      <c r="A505">
        <v>90</v>
      </c>
      <c r="B505">
        <v>99</v>
      </c>
      <c r="C505">
        <v>81</v>
      </c>
      <c r="D505">
        <v>2008</v>
      </c>
      <c r="E505">
        <v>1</v>
      </c>
      <c r="F505">
        <v>6420700</v>
      </c>
      <c r="G505">
        <v>712751386</v>
      </c>
      <c r="H505">
        <v>90684</v>
      </c>
      <c r="I505">
        <v>132527</v>
      </c>
    </row>
    <row r="506" spans="1:9" x14ac:dyDescent="0.2">
      <c r="A506">
        <v>90</v>
      </c>
      <c r="B506">
        <v>99</v>
      </c>
      <c r="C506">
        <v>81</v>
      </c>
      <c r="D506">
        <v>2008</v>
      </c>
      <c r="E506">
        <v>2</v>
      </c>
      <c r="F506">
        <v>6495540</v>
      </c>
      <c r="G506">
        <v>728832317</v>
      </c>
      <c r="H506">
        <v>86827</v>
      </c>
      <c r="I506">
        <v>126079</v>
      </c>
    </row>
    <row r="507" spans="1:9" x14ac:dyDescent="0.2">
      <c r="A507">
        <v>90</v>
      </c>
      <c r="B507">
        <v>99</v>
      </c>
      <c r="C507">
        <v>81</v>
      </c>
      <c r="D507">
        <v>2008</v>
      </c>
      <c r="E507">
        <v>3</v>
      </c>
      <c r="F507">
        <v>6532213</v>
      </c>
      <c r="G507">
        <v>722339528</v>
      </c>
      <c r="H507">
        <v>85308</v>
      </c>
      <c r="I507">
        <v>125324</v>
      </c>
    </row>
    <row r="508" spans="1:9" x14ac:dyDescent="0.2">
      <c r="A508">
        <v>90</v>
      </c>
      <c r="B508">
        <v>99</v>
      </c>
      <c r="C508">
        <v>81</v>
      </c>
      <c r="D508">
        <v>2008</v>
      </c>
      <c r="E508">
        <v>4</v>
      </c>
      <c r="F508">
        <v>6519050</v>
      </c>
      <c r="G508">
        <v>757393501</v>
      </c>
      <c r="H508">
        <v>88140</v>
      </c>
      <c r="I508">
        <v>137958</v>
      </c>
    </row>
    <row r="509" spans="1:9" x14ac:dyDescent="0.2">
      <c r="A509">
        <v>90</v>
      </c>
      <c r="B509">
        <v>99</v>
      </c>
      <c r="C509">
        <v>81</v>
      </c>
      <c r="D509">
        <v>2009</v>
      </c>
      <c r="E509">
        <v>1</v>
      </c>
      <c r="F509">
        <v>6467269</v>
      </c>
      <c r="G509">
        <v>814311850</v>
      </c>
      <c r="H509">
        <v>92989</v>
      </c>
      <c r="I509">
        <v>135009</v>
      </c>
    </row>
  </sheetData>
  <phoneticPr fontId="6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370A-980B-45A4-AFAD-8593DB023830}">
  <sheetPr codeName="Sheet5"/>
  <dimension ref="A1:AZ295"/>
  <sheetViews>
    <sheetView topLeftCell="N1" workbookViewId="0">
      <selection activeCell="U1" sqref="U1:AS18"/>
    </sheetView>
  </sheetViews>
  <sheetFormatPr defaultRowHeight="12.75" x14ac:dyDescent="0.2"/>
  <sheetData>
    <row r="1" spans="1:52" x14ac:dyDescent="0.2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K1" t="s">
        <v>0</v>
      </c>
      <c r="M1" t="s">
        <v>91</v>
      </c>
      <c r="N1" t="s">
        <v>394</v>
      </c>
      <c r="O1" t="s">
        <v>395</v>
      </c>
      <c r="P1" t="s">
        <v>396</v>
      </c>
      <c r="Q1" t="s">
        <v>397</v>
      </c>
      <c r="S1" t="s">
        <v>38</v>
      </c>
      <c r="U1">
        <v>108.55759999999999</v>
      </c>
      <c r="V1">
        <v>1.1105</v>
      </c>
      <c r="W1">
        <v>9775.8690000000006</v>
      </c>
      <c r="X1">
        <v>1.6181000000000001</v>
      </c>
      <c r="Z1">
        <v>93.7286</v>
      </c>
      <c r="AA1">
        <v>3.7543000000000002</v>
      </c>
      <c r="AB1">
        <v>2496.5988000000002</v>
      </c>
      <c r="AD1">
        <v>70.447000000000003</v>
      </c>
      <c r="AE1">
        <v>7.3830999999999998</v>
      </c>
      <c r="AF1">
        <v>954.16980000000001</v>
      </c>
      <c r="AH1">
        <v>168.66919999999999</v>
      </c>
      <c r="AI1">
        <v>6.0418000000000003</v>
      </c>
      <c r="AJ1">
        <v>2791.7064</v>
      </c>
      <c r="AL1">
        <v>114.2961</v>
      </c>
      <c r="AM1">
        <v>1.669</v>
      </c>
      <c r="AN1">
        <v>6847.9758000000002</v>
      </c>
      <c r="AO1">
        <v>2.323</v>
      </c>
      <c r="AQ1" t="s">
        <v>23</v>
      </c>
      <c r="AR1" t="s">
        <v>23</v>
      </c>
      <c r="AS1" t="s">
        <v>23</v>
      </c>
      <c r="AV1" t="s">
        <v>720</v>
      </c>
      <c r="AW1" t="s">
        <v>721</v>
      </c>
      <c r="AX1" t="s">
        <v>91</v>
      </c>
      <c r="AY1" t="s">
        <v>623</v>
      </c>
      <c r="AZ1" t="s">
        <v>624</v>
      </c>
    </row>
    <row r="2" spans="1:52" x14ac:dyDescent="0.2">
      <c r="A2" t="s">
        <v>100</v>
      </c>
      <c r="B2">
        <v>542336</v>
      </c>
      <c r="C2">
        <v>7626</v>
      </c>
      <c r="D2">
        <v>10732</v>
      </c>
      <c r="E2">
        <v>76467107</v>
      </c>
      <c r="F2">
        <v>140.9958</v>
      </c>
      <c r="G2">
        <v>1.4060999999999999</v>
      </c>
      <c r="H2">
        <v>10027.157999999999</v>
      </c>
      <c r="I2">
        <v>1.9787999999999999</v>
      </c>
      <c r="K2" t="s">
        <v>41</v>
      </c>
      <c r="M2" t="s">
        <v>398</v>
      </c>
      <c r="N2">
        <v>3.1181465889934654E-4</v>
      </c>
      <c r="O2">
        <v>-5.5283895736512309E-2</v>
      </c>
      <c r="P2">
        <v>5.5573923341365794E-2</v>
      </c>
      <c r="Q2">
        <v>-0.16403894698882068</v>
      </c>
      <c r="S2" t="s">
        <v>24</v>
      </c>
      <c r="U2">
        <v>108.1057</v>
      </c>
      <c r="V2">
        <v>1.0954999999999999</v>
      </c>
      <c r="W2">
        <v>9868.2127999999993</v>
      </c>
      <c r="X2">
        <v>1.6032999999999999</v>
      </c>
      <c r="Z2">
        <v>93.565799999999996</v>
      </c>
      <c r="AA2">
        <v>3.7271000000000001</v>
      </c>
      <c r="AB2">
        <v>2510.4427999999998</v>
      </c>
      <c r="AD2">
        <v>70.416899999999998</v>
      </c>
      <c r="AE2">
        <v>7.3367000000000004</v>
      </c>
      <c r="AF2">
        <v>959.79610000000002</v>
      </c>
      <c r="AH2">
        <v>169.03380000000001</v>
      </c>
      <c r="AI2">
        <v>5.9808000000000003</v>
      </c>
      <c r="AJ2">
        <v>2826.2842000000001</v>
      </c>
      <c r="AL2">
        <v>114.2795</v>
      </c>
      <c r="AM2">
        <v>1.6315999999999999</v>
      </c>
      <c r="AN2">
        <v>7004.0797000000002</v>
      </c>
      <c r="AO2">
        <v>2.3144999999999998</v>
      </c>
      <c r="AQ2" t="s">
        <v>23</v>
      </c>
      <c r="AR2" t="s">
        <v>23</v>
      </c>
      <c r="AS2" t="s">
        <v>23</v>
      </c>
      <c r="AV2" t="s">
        <v>725</v>
      </c>
      <c r="AX2" t="s">
        <v>625</v>
      </c>
      <c r="AY2">
        <v>268580042</v>
      </c>
      <c r="AZ2">
        <v>207141354</v>
      </c>
    </row>
    <row r="3" spans="1:52" x14ac:dyDescent="0.2">
      <c r="A3" t="s">
        <v>101</v>
      </c>
      <c r="B3">
        <v>547971</v>
      </c>
      <c r="C3">
        <v>7940</v>
      </c>
      <c r="D3">
        <v>10184</v>
      </c>
      <c r="E3">
        <v>84528519</v>
      </c>
      <c r="F3">
        <v>147.66079999999999</v>
      </c>
      <c r="G3">
        <v>1.4277</v>
      </c>
      <c r="H3">
        <v>10342.7744</v>
      </c>
      <c r="I3">
        <v>1.9184000000000001</v>
      </c>
      <c r="K3" t="s">
        <v>88</v>
      </c>
      <c r="M3" t="s">
        <v>399</v>
      </c>
      <c r="N3">
        <v>-8.609314487860148E-3</v>
      </c>
      <c r="O3">
        <v>-4.5280502596438212E-2</v>
      </c>
      <c r="P3">
        <v>3.6859893580399379E-2</v>
      </c>
      <c r="Q3">
        <v>-0.11528919986910359</v>
      </c>
      <c r="S3" t="s">
        <v>25</v>
      </c>
      <c r="U3">
        <v>107.6974</v>
      </c>
      <c r="V3">
        <v>1.0840000000000001</v>
      </c>
      <c r="W3">
        <v>9935.4534000000003</v>
      </c>
      <c r="X3">
        <v>1.5901000000000001</v>
      </c>
      <c r="Z3">
        <v>94.264200000000002</v>
      </c>
      <c r="AA3">
        <v>3.7298</v>
      </c>
      <c r="AB3">
        <v>2527.3085000000001</v>
      </c>
      <c r="AD3">
        <v>69.358699999999999</v>
      </c>
      <c r="AE3">
        <v>7.2392000000000003</v>
      </c>
      <c r="AF3">
        <v>958.10500000000002</v>
      </c>
      <c r="AH3">
        <v>170.69479999999999</v>
      </c>
      <c r="AI3">
        <v>5.9710999999999999</v>
      </c>
      <c r="AJ3">
        <v>2858.7055</v>
      </c>
      <c r="AL3">
        <v>114.9953</v>
      </c>
      <c r="AM3">
        <v>1.6074999999999999</v>
      </c>
      <c r="AN3">
        <v>7153.6638999999996</v>
      </c>
      <c r="AO3">
        <v>2.3045</v>
      </c>
      <c r="AQ3" t="s">
        <v>23</v>
      </c>
      <c r="AR3" t="s">
        <v>23</v>
      </c>
      <c r="AS3" t="s">
        <v>23</v>
      </c>
      <c r="AV3" t="s">
        <v>727</v>
      </c>
      <c r="AX3" t="s">
        <v>626</v>
      </c>
      <c r="AY3">
        <v>271203711</v>
      </c>
      <c r="AZ3">
        <v>195179592</v>
      </c>
    </row>
    <row r="4" spans="1:52" x14ac:dyDescent="0.2">
      <c r="A4" t="s">
        <v>102</v>
      </c>
      <c r="B4">
        <v>552485</v>
      </c>
      <c r="C4">
        <v>7490</v>
      </c>
      <c r="D4">
        <v>10008</v>
      </c>
      <c r="E4">
        <v>79359968</v>
      </c>
      <c r="F4">
        <v>146.3092</v>
      </c>
      <c r="G4">
        <v>1.4035</v>
      </c>
      <c r="H4">
        <v>10424.8609</v>
      </c>
      <c r="I4">
        <v>1.8824000000000001</v>
      </c>
      <c r="K4" t="s">
        <v>89</v>
      </c>
      <c r="M4" t="s">
        <v>400</v>
      </c>
      <c r="N4">
        <v>8.0547471454126204E-3</v>
      </c>
      <c r="O4">
        <v>-3.6290027352782354E-2</v>
      </c>
      <c r="P4">
        <v>4.4449388358626774E-2</v>
      </c>
      <c r="Q4">
        <v>-8.8472916855593678E-2</v>
      </c>
      <c r="S4" t="s">
        <v>26</v>
      </c>
      <c r="U4">
        <v>107.0116</v>
      </c>
      <c r="V4">
        <v>1.0709</v>
      </c>
      <c r="W4">
        <v>9992.4547000000002</v>
      </c>
      <c r="X4">
        <v>1.5644</v>
      </c>
      <c r="Z4">
        <v>94.932599999999994</v>
      </c>
      <c r="AA4">
        <v>3.7307999999999999</v>
      </c>
      <c r="AB4">
        <v>2544.5853000000002</v>
      </c>
      <c r="AD4">
        <v>69.203299999999999</v>
      </c>
      <c r="AE4">
        <v>7.0910000000000002</v>
      </c>
      <c r="AF4">
        <v>975.93669999999997</v>
      </c>
      <c r="AH4">
        <v>171.09870000000001</v>
      </c>
      <c r="AI4">
        <v>5.9600999999999997</v>
      </c>
      <c r="AJ4">
        <v>2870.7440999999999</v>
      </c>
      <c r="AL4">
        <v>113.9851</v>
      </c>
      <c r="AM4">
        <v>1.6003000000000001</v>
      </c>
      <c r="AN4">
        <v>7122.6967000000004</v>
      </c>
      <c r="AO4">
        <v>2.2740999999999998</v>
      </c>
      <c r="AQ4" t="s">
        <v>23</v>
      </c>
      <c r="AR4" t="s">
        <v>23</v>
      </c>
      <c r="AS4" t="s">
        <v>23</v>
      </c>
      <c r="AV4" t="s">
        <v>730</v>
      </c>
      <c r="AX4" t="s">
        <v>627</v>
      </c>
      <c r="AY4">
        <v>274236086</v>
      </c>
      <c r="AZ4">
        <v>194132635</v>
      </c>
    </row>
    <row r="5" spans="1:52" x14ac:dyDescent="0.2">
      <c r="A5" t="s">
        <v>103</v>
      </c>
      <c r="B5">
        <v>559010</v>
      </c>
      <c r="C5">
        <v>7487</v>
      </c>
      <c r="D5">
        <v>10564</v>
      </c>
      <c r="E5">
        <v>77562190</v>
      </c>
      <c r="F5">
        <v>144.38980000000001</v>
      </c>
      <c r="G5">
        <v>1.3872</v>
      </c>
      <c r="H5">
        <v>10408.8591</v>
      </c>
      <c r="I5">
        <v>1.8843000000000001</v>
      </c>
      <c r="K5" t="s">
        <v>90</v>
      </c>
      <c r="M5" t="s">
        <v>401</v>
      </c>
      <c r="N5">
        <v>3.2239870234903583E-3</v>
      </c>
      <c r="O5">
        <v>-4.8487151310775717E-2</v>
      </c>
      <c r="P5">
        <v>5.0987070476942793E-2</v>
      </c>
      <c r="Q5">
        <v>-8.0410953564765728E-2</v>
      </c>
      <c r="S5" t="s">
        <v>27</v>
      </c>
      <c r="U5">
        <v>105.5736</v>
      </c>
      <c r="V5">
        <v>1.0503</v>
      </c>
      <c r="W5">
        <v>10051.9334</v>
      </c>
      <c r="X5">
        <v>1.5364</v>
      </c>
      <c r="Z5">
        <v>94.864699999999999</v>
      </c>
      <c r="AA5">
        <v>3.6949999999999998</v>
      </c>
      <c r="AB5">
        <v>2567.41</v>
      </c>
      <c r="AD5">
        <v>78.452600000000004</v>
      </c>
      <c r="AE5">
        <v>7.1603000000000003</v>
      </c>
      <c r="AF5">
        <v>1095.6557</v>
      </c>
      <c r="AH5">
        <v>172.0515</v>
      </c>
      <c r="AI5">
        <v>5.9352999999999998</v>
      </c>
      <c r="AJ5">
        <v>2898.78</v>
      </c>
      <c r="AL5">
        <v>113.9335</v>
      </c>
      <c r="AM5">
        <v>1.5867</v>
      </c>
      <c r="AN5">
        <v>7180.6111000000001</v>
      </c>
      <c r="AO5">
        <v>2.2241</v>
      </c>
      <c r="AQ5" t="s">
        <v>23</v>
      </c>
      <c r="AR5" t="s">
        <v>23</v>
      </c>
      <c r="AS5" t="s">
        <v>23</v>
      </c>
      <c r="AV5" t="s">
        <v>731</v>
      </c>
      <c r="AX5" t="s">
        <v>628</v>
      </c>
      <c r="AY5">
        <v>276100268</v>
      </c>
      <c r="AZ5">
        <v>214254489</v>
      </c>
    </row>
    <row r="6" spans="1:52" x14ac:dyDescent="0.2">
      <c r="A6" t="s">
        <v>104</v>
      </c>
      <c r="B6">
        <v>564445</v>
      </c>
      <c r="C6">
        <v>7286</v>
      </c>
      <c r="D6">
        <v>10341</v>
      </c>
      <c r="E6">
        <v>74608033</v>
      </c>
      <c r="F6">
        <v>142.11840000000001</v>
      </c>
      <c r="G6">
        <v>1.3581000000000001</v>
      </c>
      <c r="H6">
        <v>10464.4807</v>
      </c>
      <c r="I6">
        <v>1.8480000000000001</v>
      </c>
      <c r="M6" t="s">
        <v>402</v>
      </c>
      <c r="N6">
        <v>-4.0625506053127064E-2</v>
      </c>
      <c r="O6">
        <v>-4.104359240824805E-2</v>
      </c>
      <c r="P6">
        <v>3.0924135923932159E-4</v>
      </c>
      <c r="Q6">
        <v>-9.3438320209973696E-2</v>
      </c>
      <c r="S6" t="s">
        <v>28</v>
      </c>
      <c r="U6">
        <v>105.7273</v>
      </c>
      <c r="V6">
        <v>1.0388999999999999</v>
      </c>
      <c r="W6">
        <v>10177.069799999999</v>
      </c>
      <c r="X6">
        <v>1.5194000000000001</v>
      </c>
      <c r="Z6">
        <v>95.044799999999995</v>
      </c>
      <c r="AA6">
        <v>3.6612</v>
      </c>
      <c r="AB6">
        <v>2596.0252</v>
      </c>
      <c r="AD6">
        <v>79.771000000000001</v>
      </c>
      <c r="AE6">
        <v>7.0679999999999996</v>
      </c>
      <c r="AF6">
        <v>1128.6201000000001</v>
      </c>
      <c r="AH6">
        <v>171.1977</v>
      </c>
      <c r="AI6">
        <v>5.8573000000000004</v>
      </c>
      <c r="AJ6">
        <v>2922.7891</v>
      </c>
      <c r="AL6">
        <v>112.8856</v>
      </c>
      <c r="AM6">
        <v>1.5851999999999999</v>
      </c>
      <c r="AN6">
        <v>7121.0406000000003</v>
      </c>
      <c r="AO6">
        <v>2.1838000000000002</v>
      </c>
      <c r="AQ6" t="s">
        <v>23</v>
      </c>
      <c r="AR6" t="s">
        <v>23</v>
      </c>
      <c r="AS6" t="s">
        <v>23</v>
      </c>
      <c r="AV6" t="s">
        <v>734</v>
      </c>
      <c r="AX6" t="s">
        <v>629</v>
      </c>
      <c r="AY6">
        <v>277048318</v>
      </c>
      <c r="AZ6">
        <v>219133415</v>
      </c>
    </row>
    <row r="7" spans="1:52" x14ac:dyDescent="0.2">
      <c r="A7" t="s">
        <v>105</v>
      </c>
      <c r="B7">
        <v>572258</v>
      </c>
      <c r="C7">
        <v>7768</v>
      </c>
      <c r="D7">
        <v>10095</v>
      </c>
      <c r="E7">
        <v>77877259</v>
      </c>
      <c r="F7">
        <v>137.62459999999999</v>
      </c>
      <c r="G7">
        <v>1.3358000000000001</v>
      </c>
      <c r="H7">
        <v>10302.935299999999</v>
      </c>
      <c r="I7">
        <v>1.8240000000000001</v>
      </c>
      <c r="M7" t="s">
        <v>403</v>
      </c>
      <c r="N7">
        <v>-2.4256684080327805E-3</v>
      </c>
      <c r="O7">
        <v>-4.4063007293869229E-2</v>
      </c>
      <c r="P7">
        <v>4.1029677744744357E-2</v>
      </c>
      <c r="Q7">
        <v>-6.3917012357529751E-2</v>
      </c>
      <c r="S7" t="s">
        <v>29</v>
      </c>
      <c r="U7">
        <v>105.3875</v>
      </c>
      <c r="V7">
        <v>1.0266999999999999</v>
      </c>
      <c r="W7">
        <v>10265.0708</v>
      </c>
      <c r="X7">
        <v>1.4911000000000001</v>
      </c>
      <c r="Z7">
        <v>94.688800000000001</v>
      </c>
      <c r="AA7">
        <v>3.6122000000000001</v>
      </c>
      <c r="AB7">
        <v>2621.3735999999999</v>
      </c>
      <c r="AD7">
        <v>82.232500000000002</v>
      </c>
      <c r="AE7">
        <v>7.0042999999999997</v>
      </c>
      <c r="AF7">
        <v>1174.0245</v>
      </c>
      <c r="AH7">
        <v>170.91650000000001</v>
      </c>
      <c r="AI7">
        <v>5.7930999999999999</v>
      </c>
      <c r="AJ7">
        <v>2950.34</v>
      </c>
      <c r="AL7">
        <v>111.3563</v>
      </c>
      <c r="AM7">
        <v>1.5752999999999999</v>
      </c>
      <c r="AN7">
        <v>7068.7565999999997</v>
      </c>
      <c r="AO7">
        <v>2.1419999999999999</v>
      </c>
      <c r="AQ7" t="s">
        <v>23</v>
      </c>
      <c r="AR7" t="s">
        <v>23</v>
      </c>
      <c r="AS7" t="s">
        <v>23</v>
      </c>
      <c r="AV7" t="s">
        <v>735</v>
      </c>
      <c r="AX7" t="s">
        <v>630</v>
      </c>
      <c r="AY7">
        <v>280872237</v>
      </c>
      <c r="AZ7">
        <v>200739705</v>
      </c>
    </row>
    <row r="8" spans="1:52" x14ac:dyDescent="0.2">
      <c r="A8" t="s">
        <v>106</v>
      </c>
      <c r="B8">
        <v>579496</v>
      </c>
      <c r="C8">
        <v>7373</v>
      </c>
      <c r="D8">
        <v>9833</v>
      </c>
      <c r="E8">
        <v>79802346</v>
      </c>
      <c r="F8">
        <v>136.18520000000001</v>
      </c>
      <c r="G8">
        <v>1.3148</v>
      </c>
      <c r="H8">
        <v>10358.0206</v>
      </c>
      <c r="I8">
        <v>1.7947</v>
      </c>
      <c r="M8" t="s">
        <v>404</v>
      </c>
      <c r="N8">
        <v>5.7669021452762511E-3</v>
      </c>
      <c r="O8">
        <v>-4.9536867761337311E-2</v>
      </c>
      <c r="P8">
        <v>5.4850939345884503E-2</v>
      </c>
      <c r="Q8">
        <v>-5.7331228207712866E-2</v>
      </c>
      <c r="S8" t="s">
        <v>30</v>
      </c>
      <c r="U8">
        <v>105.3883</v>
      </c>
      <c r="V8">
        <v>1.0155000000000001</v>
      </c>
      <c r="W8">
        <v>10377.5594</v>
      </c>
      <c r="X8">
        <v>1.4670000000000001</v>
      </c>
      <c r="Z8">
        <v>94.121700000000004</v>
      </c>
      <c r="AA8">
        <v>3.5602999999999998</v>
      </c>
      <c r="AB8">
        <v>2643.6574999999998</v>
      </c>
      <c r="AD8">
        <v>79.839299999999994</v>
      </c>
      <c r="AE8">
        <v>6.7777000000000003</v>
      </c>
      <c r="AF8">
        <v>1177.972</v>
      </c>
      <c r="AH8">
        <v>170.67089999999999</v>
      </c>
      <c r="AI8">
        <v>5.7382999999999997</v>
      </c>
      <c r="AJ8">
        <v>2974.2435</v>
      </c>
      <c r="AL8">
        <v>110.0459</v>
      </c>
      <c r="AM8">
        <v>1.5297000000000001</v>
      </c>
      <c r="AN8">
        <v>7194.0947999999999</v>
      </c>
      <c r="AO8">
        <v>2.1114999999999999</v>
      </c>
      <c r="AQ8" t="s">
        <v>23</v>
      </c>
      <c r="AR8" t="s">
        <v>23</v>
      </c>
      <c r="AS8" t="s">
        <v>23</v>
      </c>
      <c r="AV8" t="s">
        <v>737</v>
      </c>
      <c r="AX8" t="s">
        <v>631</v>
      </c>
      <c r="AY8">
        <v>286334175</v>
      </c>
      <c r="AZ8">
        <v>218956068</v>
      </c>
    </row>
    <row r="9" spans="1:52" x14ac:dyDescent="0.2">
      <c r="A9" t="s">
        <v>107</v>
      </c>
      <c r="B9">
        <v>586424</v>
      </c>
      <c r="C9">
        <v>6939</v>
      </c>
      <c r="D9">
        <v>10215</v>
      </c>
      <c r="E9">
        <v>75704976</v>
      </c>
      <c r="F9">
        <v>133.75729999999999</v>
      </c>
      <c r="G9">
        <v>1.2753000000000001</v>
      </c>
      <c r="H9">
        <v>10488.068300000001</v>
      </c>
      <c r="I9">
        <v>1.7582</v>
      </c>
      <c r="M9" t="s">
        <v>405</v>
      </c>
      <c r="N9">
        <v>5.7719703593301361E-4</v>
      </c>
      <c r="O9">
        <v>-5.3141540518083653E-2</v>
      </c>
      <c r="P9">
        <v>5.3448171966644926E-2</v>
      </c>
      <c r="Q9">
        <v>-6.7094333739143516E-2</v>
      </c>
      <c r="S9" t="s">
        <v>31</v>
      </c>
      <c r="U9">
        <v>106.6412</v>
      </c>
      <c r="V9">
        <v>1.0124</v>
      </c>
      <c r="W9">
        <v>10533.6037</v>
      </c>
      <c r="X9">
        <v>1.4584999999999999</v>
      </c>
      <c r="Z9">
        <v>94.903800000000004</v>
      </c>
      <c r="AA9">
        <v>3.5659999999999998</v>
      </c>
      <c r="AB9">
        <v>2661.3263999999999</v>
      </c>
      <c r="AD9">
        <v>69.982600000000005</v>
      </c>
      <c r="AE9">
        <v>6.4633000000000003</v>
      </c>
      <c r="AF9">
        <v>1082.7726</v>
      </c>
      <c r="AH9">
        <v>170.93819999999999</v>
      </c>
      <c r="AI9">
        <v>5.7206000000000001</v>
      </c>
      <c r="AJ9">
        <v>2988.1224000000002</v>
      </c>
      <c r="AL9">
        <v>110.38209999999999</v>
      </c>
      <c r="AM9">
        <v>1.5004999999999999</v>
      </c>
      <c r="AN9">
        <v>7356.4201999999996</v>
      </c>
      <c r="AO9">
        <v>2.0954999999999999</v>
      </c>
      <c r="AQ9" t="s">
        <v>23</v>
      </c>
      <c r="AR9" t="s">
        <v>23</v>
      </c>
      <c r="AS9" t="s">
        <v>23</v>
      </c>
      <c r="AV9" t="s">
        <v>738</v>
      </c>
      <c r="AX9" t="s">
        <v>632</v>
      </c>
      <c r="AY9">
        <v>295811996</v>
      </c>
      <c r="AZ9">
        <v>226494842</v>
      </c>
    </row>
    <row r="10" spans="1:52" x14ac:dyDescent="0.2">
      <c r="A10" t="s">
        <v>108</v>
      </c>
      <c r="B10">
        <v>588594</v>
      </c>
      <c r="C10">
        <v>7008</v>
      </c>
      <c r="D10">
        <v>10267</v>
      </c>
      <c r="E10">
        <v>77410805</v>
      </c>
      <c r="F10">
        <v>133.5736</v>
      </c>
      <c r="G10">
        <v>1.2501</v>
      </c>
      <c r="H10">
        <v>10684.659900000001</v>
      </c>
      <c r="I10">
        <v>1.7366999999999999</v>
      </c>
      <c r="M10" t="s">
        <v>406</v>
      </c>
      <c r="N10">
        <v>1.2342635855851604E-2</v>
      </c>
      <c r="O10">
        <v>-4.0136291685670553E-2</v>
      </c>
      <c r="P10">
        <v>5.2294149445236901E-2</v>
      </c>
      <c r="Q10">
        <v>-8.0639232302126315E-2</v>
      </c>
      <c r="S10" t="s">
        <v>32</v>
      </c>
      <c r="U10">
        <v>106.7826</v>
      </c>
      <c r="V10">
        <v>1.0007999999999999</v>
      </c>
      <c r="W10">
        <v>10669.364100000001</v>
      </c>
      <c r="X10">
        <v>1.4400999999999999</v>
      </c>
      <c r="Z10">
        <v>95.325999999999993</v>
      </c>
      <c r="AA10">
        <v>3.5567000000000002</v>
      </c>
      <c r="AB10">
        <v>2680.1676000000002</v>
      </c>
      <c r="AD10">
        <v>68.415400000000005</v>
      </c>
      <c r="AE10">
        <v>6.3038999999999996</v>
      </c>
      <c r="AF10">
        <v>1085.2955999999999</v>
      </c>
      <c r="AH10">
        <v>172.37190000000001</v>
      </c>
      <c r="AI10">
        <v>5.7619999999999996</v>
      </c>
      <c r="AJ10">
        <v>2991.5041999999999</v>
      </c>
      <c r="AL10">
        <v>110.13630000000001</v>
      </c>
      <c r="AM10">
        <v>1.4743999999999999</v>
      </c>
      <c r="AN10">
        <v>7469.6867000000002</v>
      </c>
      <c r="AO10">
        <v>2.0966</v>
      </c>
      <c r="AQ10" t="s">
        <v>23</v>
      </c>
      <c r="AR10" t="s">
        <v>23</v>
      </c>
      <c r="AS10" t="s">
        <v>23</v>
      </c>
      <c r="AV10" t="s">
        <v>739</v>
      </c>
      <c r="AX10" t="s">
        <v>633</v>
      </c>
      <c r="AY10">
        <v>297368464</v>
      </c>
      <c r="AZ10">
        <v>229309817</v>
      </c>
    </row>
    <row r="11" spans="1:52" x14ac:dyDescent="0.2">
      <c r="A11" t="s">
        <v>109</v>
      </c>
      <c r="B11">
        <v>593745</v>
      </c>
      <c r="C11">
        <v>7226</v>
      </c>
      <c r="D11">
        <v>9600</v>
      </c>
      <c r="E11">
        <v>80427313</v>
      </c>
      <c r="F11">
        <v>133.43729999999999</v>
      </c>
      <c r="G11">
        <v>1.2156</v>
      </c>
      <c r="H11">
        <v>10976.8598</v>
      </c>
      <c r="I11">
        <v>1.6998</v>
      </c>
      <c r="M11" t="s">
        <v>407</v>
      </c>
      <c r="N11">
        <v>1.4555357146563795E-2</v>
      </c>
      <c r="O11">
        <v>-4.226576004234079E-2</v>
      </c>
      <c r="P11">
        <v>5.6646102276513156E-2</v>
      </c>
      <c r="Q11">
        <v>-7.3370288012426968E-2</v>
      </c>
      <c r="S11" t="s">
        <v>33</v>
      </c>
      <c r="U11">
        <v>107.0685</v>
      </c>
      <c r="V11">
        <v>0.98929999999999996</v>
      </c>
      <c r="W11">
        <v>10822.660099999999</v>
      </c>
      <c r="X11">
        <v>1.4198</v>
      </c>
      <c r="Z11">
        <v>96.226799999999997</v>
      </c>
      <c r="AA11">
        <v>3.5726</v>
      </c>
      <c r="AB11">
        <v>2693.4416999999999</v>
      </c>
      <c r="AD11">
        <v>65.149500000000003</v>
      </c>
      <c r="AE11">
        <v>6.1162999999999998</v>
      </c>
      <c r="AF11">
        <v>1065.1863000000001</v>
      </c>
      <c r="AH11">
        <v>173.3929</v>
      </c>
      <c r="AI11">
        <v>5.8045</v>
      </c>
      <c r="AJ11">
        <v>2987.1905000000002</v>
      </c>
      <c r="AL11">
        <v>110.1534</v>
      </c>
      <c r="AM11">
        <v>1.4558</v>
      </c>
      <c r="AN11">
        <v>7566.6692999999996</v>
      </c>
      <c r="AO11">
        <v>2.0893999999999999</v>
      </c>
      <c r="AQ11" t="s">
        <v>23</v>
      </c>
      <c r="AR11" t="s">
        <v>23</v>
      </c>
      <c r="AS11" t="s">
        <v>23</v>
      </c>
      <c r="AV11" t="s">
        <v>740</v>
      </c>
      <c r="AX11" t="s">
        <v>634</v>
      </c>
      <c r="AY11">
        <v>299771818</v>
      </c>
      <c r="AZ11">
        <v>224572250</v>
      </c>
    </row>
    <row r="12" spans="1:52" x14ac:dyDescent="0.2">
      <c r="A12" t="s">
        <v>110</v>
      </c>
      <c r="B12">
        <v>594860</v>
      </c>
      <c r="C12">
        <v>6988</v>
      </c>
      <c r="D12">
        <v>9168</v>
      </c>
      <c r="E12">
        <v>75241606</v>
      </c>
      <c r="F12">
        <v>130.6404</v>
      </c>
      <c r="G12">
        <v>1.1914</v>
      </c>
      <c r="H12">
        <v>10964.9764</v>
      </c>
      <c r="I12">
        <v>1.6606000000000001</v>
      </c>
      <c r="M12" t="s">
        <v>408</v>
      </c>
      <c r="N12">
        <v>1.4770066909821356E-2</v>
      </c>
      <c r="O12">
        <v>-4.2028888477448935E-2</v>
      </c>
      <c r="P12">
        <v>5.6785345035316202E-2</v>
      </c>
      <c r="Q12">
        <v>-6.1856532699932375E-2</v>
      </c>
      <c r="S12" t="s">
        <v>34</v>
      </c>
      <c r="U12">
        <v>107.44799999999999</v>
      </c>
      <c r="V12">
        <v>0.97760000000000002</v>
      </c>
      <c r="W12">
        <v>10991.5401</v>
      </c>
      <c r="X12">
        <v>1.4053</v>
      </c>
      <c r="Z12">
        <v>97.008300000000006</v>
      </c>
      <c r="AA12">
        <v>3.5806</v>
      </c>
      <c r="AB12">
        <v>2709.2847000000002</v>
      </c>
      <c r="AD12">
        <v>65.288700000000006</v>
      </c>
      <c r="AE12">
        <v>6.0904999999999996</v>
      </c>
      <c r="AF12">
        <v>1071.9786999999999</v>
      </c>
      <c r="AH12">
        <v>174.08940000000001</v>
      </c>
      <c r="AI12">
        <v>5.8228</v>
      </c>
      <c r="AJ12">
        <v>2989.7838999999999</v>
      </c>
      <c r="AL12">
        <v>110.9465</v>
      </c>
      <c r="AM12">
        <v>1.4426000000000001</v>
      </c>
      <c r="AN12">
        <v>7690.8944000000001</v>
      </c>
      <c r="AO12">
        <v>2.0872999999999999</v>
      </c>
      <c r="AQ12" t="s">
        <v>23</v>
      </c>
      <c r="AR12" t="s">
        <v>23</v>
      </c>
      <c r="AS12" t="s">
        <v>23</v>
      </c>
      <c r="AV12" t="s">
        <v>741</v>
      </c>
      <c r="AX12" t="s">
        <v>635</v>
      </c>
      <c r="AY12">
        <v>299930496</v>
      </c>
      <c r="AZ12">
        <v>211023521</v>
      </c>
    </row>
    <row r="13" spans="1:52" x14ac:dyDescent="0.2">
      <c r="A13" t="s">
        <v>111</v>
      </c>
      <c r="B13">
        <v>597673</v>
      </c>
      <c r="C13">
        <v>7143</v>
      </c>
      <c r="D13">
        <v>9964</v>
      </c>
      <c r="E13">
        <v>89699603</v>
      </c>
      <c r="F13">
        <v>135.9144</v>
      </c>
      <c r="G13">
        <v>1.1943999999999999</v>
      </c>
      <c r="H13">
        <v>11379.4933</v>
      </c>
      <c r="I13">
        <v>1.6422000000000001</v>
      </c>
      <c r="M13" t="s">
        <v>409</v>
      </c>
      <c r="N13">
        <v>8.7493665830315169E-3</v>
      </c>
      <c r="O13">
        <v>-4.3407973074090604E-2</v>
      </c>
      <c r="P13">
        <v>5.2247092608540761E-2</v>
      </c>
      <c r="Q13">
        <v>-5.9783435659717644E-2</v>
      </c>
      <c r="S13" t="s">
        <v>35</v>
      </c>
      <c r="U13">
        <v>107.74460000000001</v>
      </c>
      <c r="V13">
        <v>0.96479999999999999</v>
      </c>
      <c r="W13">
        <v>11168.0149</v>
      </c>
      <c r="X13">
        <v>1.3851</v>
      </c>
      <c r="Z13">
        <v>97.638800000000003</v>
      </c>
      <c r="AA13">
        <v>3.5918000000000001</v>
      </c>
      <c r="AB13">
        <v>2718.3508000000002</v>
      </c>
      <c r="AD13">
        <v>64.5869</v>
      </c>
      <c r="AE13">
        <v>6.0442999999999998</v>
      </c>
      <c r="AF13">
        <v>1068.5542</v>
      </c>
      <c r="AH13">
        <v>175.10300000000001</v>
      </c>
      <c r="AI13">
        <v>5.8567</v>
      </c>
      <c r="AJ13">
        <v>2989.7640000000001</v>
      </c>
      <c r="AL13">
        <v>113.50149999999999</v>
      </c>
      <c r="AM13">
        <v>1.4534</v>
      </c>
      <c r="AN13">
        <v>7809.4979999999996</v>
      </c>
      <c r="AO13">
        <v>2.1072000000000002</v>
      </c>
      <c r="AQ13" t="s">
        <v>23</v>
      </c>
      <c r="AR13" t="s">
        <v>23</v>
      </c>
      <c r="AS13" t="s">
        <v>23</v>
      </c>
      <c r="AV13" t="s">
        <v>742</v>
      </c>
      <c r="AX13" t="s">
        <v>636</v>
      </c>
      <c r="AY13">
        <v>300291669</v>
      </c>
      <c r="AZ13">
        <v>239308092</v>
      </c>
    </row>
    <row r="14" spans="1:52" x14ac:dyDescent="0.2">
      <c r="A14" t="s">
        <v>112</v>
      </c>
      <c r="B14">
        <v>597015</v>
      </c>
      <c r="C14">
        <v>6842</v>
      </c>
      <c r="D14">
        <v>9796</v>
      </c>
      <c r="E14">
        <v>74204982</v>
      </c>
      <c r="F14">
        <v>134.0891</v>
      </c>
      <c r="G14">
        <v>1.1832</v>
      </c>
      <c r="H14">
        <v>11332.795599999999</v>
      </c>
      <c r="I14">
        <v>1.6166</v>
      </c>
      <c r="M14" t="s">
        <v>410</v>
      </c>
      <c r="N14">
        <v>-0.19083017202627858</v>
      </c>
      <c r="O14">
        <v>-0.1360471298836641</v>
      </c>
      <c r="P14">
        <v>-5.4852681718643992E-2</v>
      </c>
      <c r="Q14" t="s">
        <v>622</v>
      </c>
      <c r="S14" t="s">
        <v>36</v>
      </c>
      <c r="U14">
        <v>107.98260000000001</v>
      </c>
      <c r="V14">
        <v>0.95269999999999999</v>
      </c>
      <c r="W14">
        <v>11334.643899999999</v>
      </c>
      <c r="X14">
        <v>1.3627</v>
      </c>
      <c r="Z14">
        <v>98.066100000000006</v>
      </c>
      <c r="AA14">
        <v>3.5865</v>
      </c>
      <c r="AB14">
        <v>2734.3312000000001</v>
      </c>
      <c r="AD14">
        <v>65.347800000000007</v>
      </c>
      <c r="AE14">
        <v>6.0420999999999996</v>
      </c>
      <c r="AF14">
        <v>1081.5400999999999</v>
      </c>
      <c r="AH14">
        <v>176.67670000000001</v>
      </c>
      <c r="AI14">
        <v>5.8609999999999998</v>
      </c>
      <c r="AJ14">
        <v>3014.4411</v>
      </c>
      <c r="AL14">
        <v>112.5445</v>
      </c>
      <c r="AM14">
        <v>1.4289000000000001</v>
      </c>
      <c r="AN14">
        <v>7876.5419000000002</v>
      </c>
      <c r="AO14">
        <v>2.0865</v>
      </c>
      <c r="AQ14" t="s">
        <v>23</v>
      </c>
      <c r="AR14" t="s">
        <v>23</v>
      </c>
      <c r="AS14" t="s">
        <v>23</v>
      </c>
      <c r="AV14" t="s">
        <v>745</v>
      </c>
      <c r="AX14" t="s">
        <v>637</v>
      </c>
      <c r="AY14">
        <v>297621665</v>
      </c>
      <c r="AZ14">
        <v>222909932</v>
      </c>
    </row>
    <row r="15" spans="1:52" x14ac:dyDescent="0.2">
      <c r="A15" t="s">
        <v>113</v>
      </c>
      <c r="B15">
        <v>599681</v>
      </c>
      <c r="C15">
        <v>7211</v>
      </c>
      <c r="D15">
        <v>9157</v>
      </c>
      <c r="E15">
        <v>86784871</v>
      </c>
      <c r="F15">
        <v>136.41679999999999</v>
      </c>
      <c r="G15">
        <v>1.1796</v>
      </c>
      <c r="H15">
        <v>11564.4004</v>
      </c>
      <c r="I15">
        <v>1.5940000000000001</v>
      </c>
      <c r="M15" t="s">
        <v>411</v>
      </c>
      <c r="N15">
        <v>-0.1210922265924646</v>
      </c>
      <c r="O15">
        <v>-7.836652478215457E-2</v>
      </c>
      <c r="P15">
        <v>-4.3680892602794584E-2</v>
      </c>
      <c r="Q15" t="s">
        <v>622</v>
      </c>
      <c r="S15" t="str">
        <f>IF(PIP="","","PIP Pure Premium")</f>
        <v>PIP Pure Premium</v>
      </c>
      <c r="U15">
        <v>108.5564</v>
      </c>
      <c r="V15">
        <v>0.94569999999999999</v>
      </c>
      <c r="W15">
        <v>11479.295099999999</v>
      </c>
      <c r="X15">
        <v>1.3358000000000001</v>
      </c>
      <c r="Z15">
        <v>97.949600000000004</v>
      </c>
      <c r="AA15">
        <v>3.5642</v>
      </c>
      <c r="AB15">
        <v>2748.1767</v>
      </c>
      <c r="AD15">
        <v>70.239699999999999</v>
      </c>
      <c r="AE15">
        <v>6.1711</v>
      </c>
      <c r="AF15">
        <v>1138.2030999999999</v>
      </c>
      <c r="AH15">
        <v>175.4863</v>
      </c>
      <c r="AI15">
        <v>5.8341000000000003</v>
      </c>
      <c r="AJ15">
        <v>3007.9623999999999</v>
      </c>
      <c r="AL15">
        <v>113.047</v>
      </c>
      <c r="AM15">
        <v>1.3983000000000001</v>
      </c>
      <c r="AN15">
        <v>8084.3540999999996</v>
      </c>
      <c r="AO15">
        <v>2.0636000000000001</v>
      </c>
      <c r="AQ15" t="s">
        <v>23</v>
      </c>
      <c r="AR15" t="s">
        <v>23</v>
      </c>
      <c r="AS15" t="s">
        <v>23</v>
      </c>
      <c r="AV15" t="s">
        <v>746</v>
      </c>
      <c r="AX15" t="s">
        <v>638</v>
      </c>
      <c r="AY15">
        <v>297798213</v>
      </c>
      <c r="AZ15">
        <v>228850488</v>
      </c>
    </row>
    <row r="16" spans="1:52" x14ac:dyDescent="0.2">
      <c r="A16" t="s">
        <v>114</v>
      </c>
      <c r="B16">
        <v>598238</v>
      </c>
      <c r="C16">
        <v>6905</v>
      </c>
      <c r="D16">
        <v>8699</v>
      </c>
      <c r="E16">
        <v>82458567</v>
      </c>
      <c r="F16">
        <v>139.2406</v>
      </c>
      <c r="G16">
        <v>1.1745000000000001</v>
      </c>
      <c r="H16">
        <v>11855.3796</v>
      </c>
      <c r="I16">
        <v>1.5722</v>
      </c>
      <c r="M16" t="s">
        <v>412</v>
      </c>
      <c r="N16">
        <v>-4.9842592676456937E-2</v>
      </c>
      <c r="O16">
        <v>-3.2655584139505658E-2</v>
      </c>
      <c r="P16">
        <v>-1.8152777253897964E-2</v>
      </c>
      <c r="Q16" t="s">
        <v>622</v>
      </c>
      <c r="S16" s="38" t="str">
        <f>IF(PIP="","","PIP Paid Claim Frequency")</f>
        <v>PIP Paid Claim Frequency</v>
      </c>
      <c r="U16">
        <v>109.14319999999999</v>
      </c>
      <c r="V16">
        <v>0.93710000000000004</v>
      </c>
      <c r="W16">
        <v>11647.1523</v>
      </c>
      <c r="X16">
        <v>1.3012999999999999</v>
      </c>
      <c r="Z16">
        <v>97.386799999999994</v>
      </c>
      <c r="AA16">
        <v>3.5312999999999999</v>
      </c>
      <c r="AB16">
        <v>2757.79</v>
      </c>
      <c r="AD16">
        <v>72.537899999999993</v>
      </c>
      <c r="AE16">
        <v>6.1943000000000001</v>
      </c>
      <c r="AF16">
        <v>1171.0342000000001</v>
      </c>
      <c r="AH16">
        <v>173.1387</v>
      </c>
      <c r="AI16">
        <v>5.7828999999999997</v>
      </c>
      <c r="AJ16">
        <v>2993.9976000000001</v>
      </c>
      <c r="AL16">
        <v>113.2924</v>
      </c>
      <c r="AM16">
        <v>1.3779999999999999</v>
      </c>
      <c r="AN16">
        <v>8221.4617999999991</v>
      </c>
      <c r="AO16">
        <v>2.0358000000000001</v>
      </c>
      <c r="AQ16" t="s">
        <v>23</v>
      </c>
      <c r="AR16" t="s">
        <v>23</v>
      </c>
      <c r="AS16" t="s">
        <v>23</v>
      </c>
      <c r="AV16" t="s">
        <v>748</v>
      </c>
      <c r="AX16" t="s">
        <v>639</v>
      </c>
      <c r="AY16">
        <v>297376039</v>
      </c>
      <c r="AZ16">
        <v>226418697</v>
      </c>
    </row>
    <row r="17" spans="1:52" x14ac:dyDescent="0.2">
      <c r="A17" t="s">
        <v>115</v>
      </c>
      <c r="B17">
        <v>599002</v>
      </c>
      <c r="C17">
        <v>6714</v>
      </c>
      <c r="D17">
        <v>9441</v>
      </c>
      <c r="E17">
        <v>81791200</v>
      </c>
      <c r="F17">
        <v>135.85980000000001</v>
      </c>
      <c r="G17">
        <v>1.1558999999999999</v>
      </c>
      <c r="H17">
        <v>11753.3832</v>
      </c>
      <c r="I17">
        <v>1.5495000000000001</v>
      </c>
      <c r="M17" t="s">
        <v>413</v>
      </c>
      <c r="N17">
        <v>-2.4175614242862777E-2</v>
      </c>
      <c r="O17">
        <v>-1.998356902859658E-2</v>
      </c>
      <c r="P17">
        <v>-4.8809383007920549E-3</v>
      </c>
      <c r="Q17" t="s">
        <v>622</v>
      </c>
      <c r="S17" t="str">
        <f>IF(PIP="","","PIP Average Claim Cost")</f>
        <v>PIP Average Claim Cost</v>
      </c>
      <c r="U17">
        <v>109.74590000000001</v>
      </c>
      <c r="V17">
        <v>0.9264</v>
      </c>
      <c r="W17">
        <v>11845.919599999999</v>
      </c>
      <c r="X17">
        <v>1.2733000000000001</v>
      </c>
      <c r="Z17">
        <v>96.2286</v>
      </c>
      <c r="AA17">
        <v>3.4691999999999998</v>
      </c>
      <c r="AB17">
        <v>2773.7855</v>
      </c>
      <c r="AD17">
        <v>73.972800000000007</v>
      </c>
      <c r="AE17">
        <v>6.1424000000000003</v>
      </c>
      <c r="AF17">
        <v>1204.2996000000001</v>
      </c>
      <c r="AH17">
        <v>171.40819999999999</v>
      </c>
      <c r="AI17">
        <v>5.7054</v>
      </c>
      <c r="AJ17">
        <v>3004.3180000000002</v>
      </c>
      <c r="AL17">
        <v>112.49890000000001</v>
      </c>
      <c r="AM17">
        <v>1.3514999999999999</v>
      </c>
      <c r="AN17">
        <v>8323.8119999999999</v>
      </c>
      <c r="AO17">
        <v>2.0097999999999998</v>
      </c>
      <c r="AQ17" t="s">
        <v>23</v>
      </c>
      <c r="AR17" t="s">
        <v>23</v>
      </c>
      <c r="AS17" t="s">
        <v>23</v>
      </c>
      <c r="AV17" t="s">
        <v>749</v>
      </c>
      <c r="AX17" t="s">
        <v>640</v>
      </c>
      <c r="AY17">
        <v>296064793</v>
      </c>
      <c r="AZ17">
        <v>241520824</v>
      </c>
    </row>
    <row r="18" spans="1:52" x14ac:dyDescent="0.2">
      <c r="A18" t="s">
        <v>116</v>
      </c>
      <c r="B18">
        <v>598531</v>
      </c>
      <c r="C18">
        <v>6675</v>
      </c>
      <c r="D18">
        <v>8888</v>
      </c>
      <c r="E18">
        <v>78655136</v>
      </c>
      <c r="F18">
        <v>137.63159999999999</v>
      </c>
      <c r="G18">
        <v>1.1482000000000001</v>
      </c>
      <c r="H18">
        <v>11986.539699999999</v>
      </c>
      <c r="I18">
        <v>1.5105999999999999</v>
      </c>
      <c r="M18" t="s">
        <v>414</v>
      </c>
      <c r="N18">
        <v>-9.9101200667368647E-2</v>
      </c>
      <c r="O18">
        <v>-8.5144873670785007E-2</v>
      </c>
      <c r="P18">
        <v>-1.3870990742615618E-2</v>
      </c>
      <c r="Q18" t="s">
        <v>622</v>
      </c>
      <c r="S18" t="str">
        <f>+IF(PIP="","","PIP Arising Claim Frequency")</f>
        <v>PIP Arising Claim Frequency</v>
      </c>
      <c r="U18">
        <v>109.479</v>
      </c>
      <c r="V18">
        <v>0.91810000000000003</v>
      </c>
      <c r="W18">
        <v>11923.956700000001</v>
      </c>
      <c r="X18">
        <v>1.2583</v>
      </c>
      <c r="Z18">
        <v>95.853700000000003</v>
      </c>
      <c r="AA18">
        <v>3.4546000000000001</v>
      </c>
      <c r="AB18">
        <v>2774.7044999999998</v>
      </c>
      <c r="AD18">
        <v>73.425899999999999</v>
      </c>
      <c r="AE18">
        <v>6.14</v>
      </c>
      <c r="AF18">
        <v>1195.856</v>
      </c>
      <c r="AH18">
        <v>169.2107</v>
      </c>
      <c r="AI18">
        <v>5.6801000000000004</v>
      </c>
      <c r="AJ18">
        <v>2979.0308</v>
      </c>
      <c r="AL18">
        <v>116.2016</v>
      </c>
      <c r="AM18">
        <v>1.3580000000000001</v>
      </c>
      <c r="AN18">
        <v>8556.9919000000009</v>
      </c>
      <c r="AO18">
        <v>2.0156999999999998</v>
      </c>
      <c r="AQ18" t="s">
        <v>23</v>
      </c>
      <c r="AR18" t="s">
        <v>23</v>
      </c>
      <c r="AS18" t="s">
        <v>23</v>
      </c>
      <c r="AX18" t="s">
        <v>641</v>
      </c>
      <c r="AY18">
        <v>294255498</v>
      </c>
      <c r="AZ18">
        <v>226785326</v>
      </c>
    </row>
    <row r="19" spans="1:52" x14ac:dyDescent="0.2">
      <c r="A19" t="s">
        <v>117</v>
      </c>
      <c r="B19">
        <v>598403</v>
      </c>
      <c r="C19">
        <v>6891</v>
      </c>
      <c r="D19">
        <v>8175</v>
      </c>
      <c r="E19">
        <v>82089394</v>
      </c>
      <c r="F19">
        <v>135.74379999999999</v>
      </c>
      <c r="G19">
        <v>1.1355</v>
      </c>
      <c r="H19">
        <v>11954.9125</v>
      </c>
      <c r="I19">
        <v>1.4703999999999999</v>
      </c>
      <c r="M19" t="s">
        <v>415</v>
      </c>
      <c r="N19">
        <v>-3.843213538038124E-2</v>
      </c>
      <c r="O19">
        <v>-4.273956147258174E-2</v>
      </c>
      <c r="P19">
        <v>4.165346144716163E-3</v>
      </c>
      <c r="Q19" t="s">
        <v>622</v>
      </c>
      <c r="S19" t="str">
        <f>IF(PPI="","","PPI Pure Premium")</f>
        <v>PPI Pure Premium</v>
      </c>
      <c r="AX19" t="s">
        <v>642</v>
      </c>
      <c r="AY19">
        <v>292996780</v>
      </c>
      <c r="AZ19">
        <v>225233614</v>
      </c>
    </row>
    <row r="20" spans="1:52" x14ac:dyDescent="0.2">
      <c r="A20" t="s">
        <v>118</v>
      </c>
      <c r="B20">
        <v>594301</v>
      </c>
      <c r="C20">
        <v>6561</v>
      </c>
      <c r="D20">
        <v>7459</v>
      </c>
      <c r="E20">
        <v>81000428</v>
      </c>
      <c r="F20">
        <v>135.35740000000001</v>
      </c>
      <c r="G20">
        <v>1.1229</v>
      </c>
      <c r="H20">
        <v>12053.8042</v>
      </c>
      <c r="I20">
        <v>1.4209000000000001</v>
      </c>
      <c r="M20" t="s">
        <v>416</v>
      </c>
      <c r="N20">
        <v>-1.6286492780457167E-2</v>
      </c>
      <c r="O20">
        <v>-2.9106100626031625E-2</v>
      </c>
      <c r="P20">
        <v>1.2697102817178396E-2</v>
      </c>
      <c r="Q20" t="s">
        <v>622</v>
      </c>
      <c r="S20" s="38" t="str">
        <f>IF(PPI="","","PPI Paid Claim Frequency")</f>
        <v>PPI Paid Claim Frequency</v>
      </c>
      <c r="AX20" t="s">
        <v>643</v>
      </c>
      <c r="AY20">
        <v>291296584</v>
      </c>
      <c r="AZ20">
        <v>229527913</v>
      </c>
    </row>
    <row r="21" spans="1:52" x14ac:dyDescent="0.2">
      <c r="A21" t="s">
        <v>119</v>
      </c>
      <c r="B21">
        <v>591264</v>
      </c>
      <c r="C21">
        <v>6218</v>
      </c>
      <c r="D21">
        <v>7649</v>
      </c>
      <c r="E21">
        <v>83062966</v>
      </c>
      <c r="F21">
        <v>136.33080000000001</v>
      </c>
      <c r="G21">
        <v>1.1057999999999999</v>
      </c>
      <c r="H21">
        <v>12329.0159</v>
      </c>
      <c r="I21">
        <v>1.3503000000000001</v>
      </c>
      <c r="M21" t="s">
        <v>417</v>
      </c>
      <c r="N21">
        <v>-1.7116585645083032E-3</v>
      </c>
      <c r="O21">
        <v>-2.4873965929670963E-2</v>
      </c>
      <c r="P21">
        <v>2.3000752142816137E-2</v>
      </c>
      <c r="Q21" t="s">
        <v>622</v>
      </c>
      <c r="S21" t="str">
        <f>IF(PPI="","","PPI Average Claim Cost")</f>
        <v>PPI Average Claim Cost</v>
      </c>
      <c r="AX21" t="s">
        <v>644</v>
      </c>
      <c r="AY21">
        <v>291050946</v>
      </c>
      <c r="AZ21">
        <v>214656316</v>
      </c>
    </row>
    <row r="22" spans="1:52" x14ac:dyDescent="0.2">
      <c r="A22" t="s">
        <v>120</v>
      </c>
      <c r="B22">
        <v>588193</v>
      </c>
      <c r="C22">
        <v>6185</v>
      </c>
      <c r="D22">
        <v>7659</v>
      </c>
      <c r="E22">
        <v>75167399</v>
      </c>
      <c r="F22">
        <v>135.4546</v>
      </c>
      <c r="G22">
        <v>1.0899000000000001</v>
      </c>
      <c r="H22">
        <v>12427.7775</v>
      </c>
      <c r="I22">
        <v>1.3044</v>
      </c>
      <c r="M22" t="s">
        <v>418</v>
      </c>
      <c r="N22">
        <v>-4.7721394414952392E-2</v>
      </c>
      <c r="O22">
        <v>-3.7526355830887904E-2</v>
      </c>
      <c r="P22">
        <v>-1.02090853095082E-2</v>
      </c>
      <c r="Q22" t="s">
        <v>622</v>
      </c>
      <c r="AX22" t="s">
        <v>645</v>
      </c>
      <c r="AY22">
        <v>289732204</v>
      </c>
      <c r="AZ22">
        <v>200782554</v>
      </c>
    </row>
    <row r="23" spans="1:52" x14ac:dyDescent="0.2">
      <c r="A23" t="s">
        <v>121</v>
      </c>
      <c r="B23">
        <v>3032084</v>
      </c>
      <c r="C23">
        <v>38018</v>
      </c>
      <c r="D23">
        <v>56982</v>
      </c>
      <c r="E23">
        <v>347020815</v>
      </c>
      <c r="F23">
        <v>114.4496</v>
      </c>
      <c r="G23">
        <v>1.2539</v>
      </c>
      <c r="H23">
        <v>9127.8029999999999</v>
      </c>
      <c r="I23">
        <v>1.8793</v>
      </c>
      <c r="M23" t="s">
        <v>419</v>
      </c>
      <c r="N23">
        <v>-1.365351126875369E-2</v>
      </c>
      <c r="O23">
        <v>-1.402325599315726E-2</v>
      </c>
      <c r="P23">
        <v>3.461134441429183E-4</v>
      </c>
      <c r="Q23" t="s">
        <v>622</v>
      </c>
      <c r="S23" t="s">
        <v>39</v>
      </c>
      <c r="AX23" t="s">
        <v>646</v>
      </c>
      <c r="AY23">
        <v>1451345258</v>
      </c>
      <c r="AZ23">
        <v>993735762</v>
      </c>
    </row>
    <row r="24" spans="1:52" x14ac:dyDescent="0.2">
      <c r="A24" t="s">
        <v>122</v>
      </c>
      <c r="B24">
        <v>3048445</v>
      </c>
      <c r="C24">
        <v>36497</v>
      </c>
      <c r="D24">
        <v>55817</v>
      </c>
      <c r="E24">
        <v>341691355</v>
      </c>
      <c r="F24">
        <v>113.26519999999999</v>
      </c>
      <c r="G24">
        <v>1.2255</v>
      </c>
      <c r="H24">
        <v>9242.5977000000003</v>
      </c>
      <c r="I24">
        <v>1.8551</v>
      </c>
      <c r="M24" t="s">
        <v>420</v>
      </c>
      <c r="N24">
        <v>2.4050778075778664E-3</v>
      </c>
      <c r="O24">
        <v>-1.3044458623057518E-3</v>
      </c>
      <c r="P24">
        <v>3.7028969388758627E-3</v>
      </c>
      <c r="Q24" t="s">
        <v>622</v>
      </c>
      <c r="S24" s="11" t="s">
        <v>68</v>
      </c>
      <c r="AX24" t="s">
        <v>647</v>
      </c>
      <c r="AY24">
        <v>1458848027</v>
      </c>
      <c r="AZ24">
        <v>959366115</v>
      </c>
    </row>
    <row r="25" spans="1:52" ht="13.5" x14ac:dyDescent="0.2">
      <c r="A25" t="s">
        <v>123</v>
      </c>
      <c r="B25">
        <v>3067150</v>
      </c>
      <c r="C25">
        <v>34858</v>
      </c>
      <c r="D25">
        <v>54267</v>
      </c>
      <c r="E25">
        <v>340032744</v>
      </c>
      <c r="F25">
        <v>112.4597</v>
      </c>
      <c r="G25">
        <v>1.1956</v>
      </c>
      <c r="H25">
        <v>9405.8397999999997</v>
      </c>
      <c r="I25">
        <v>1.8263</v>
      </c>
      <c r="M25" t="s">
        <v>421</v>
      </c>
      <c r="N25">
        <v>3.5919660369228769E-3</v>
      </c>
      <c r="O25">
        <v>-8.2352296606382647E-3</v>
      </c>
      <c r="P25">
        <v>1.1674521066511911E-2</v>
      </c>
      <c r="Q25" t="s">
        <v>622</v>
      </c>
      <c r="S25" s="11" t="s">
        <v>69</v>
      </c>
      <c r="Z25" s="26"/>
      <c r="AA25" s="29"/>
      <c r="AB25" s="70" t="s">
        <v>43</v>
      </c>
      <c r="AC25" s="70"/>
      <c r="AD25" s="70"/>
      <c r="AE25" s="70"/>
      <c r="AF25" s="70"/>
      <c r="AG25" s="70"/>
      <c r="AH25" s="70"/>
      <c r="AI25" s="70"/>
      <c r="AJ25" s="70"/>
      <c r="AK25" s="17"/>
      <c r="AL25" s="17"/>
      <c r="AX25" t="s">
        <v>648</v>
      </c>
      <c r="AY25">
        <v>1476310568</v>
      </c>
      <c r="AZ25">
        <v>951494777</v>
      </c>
    </row>
    <row r="26" spans="1:52" x14ac:dyDescent="0.2">
      <c r="A26" t="s">
        <v>124</v>
      </c>
      <c r="B26">
        <v>3080037</v>
      </c>
      <c r="C26">
        <v>35199</v>
      </c>
      <c r="D26">
        <v>54986</v>
      </c>
      <c r="E26">
        <v>335704130</v>
      </c>
      <c r="F26">
        <v>111.5866</v>
      </c>
      <c r="G26">
        <v>1.1822999999999999</v>
      </c>
      <c r="H26">
        <v>9437.8513000000003</v>
      </c>
      <c r="I26">
        <v>1.8160000000000001</v>
      </c>
      <c r="M26" t="s">
        <v>422</v>
      </c>
      <c r="N26">
        <v>-4.9385125102159123E-2</v>
      </c>
      <c r="O26">
        <v>-3.694632785826648E-2</v>
      </c>
      <c r="P26">
        <v>-1.2577957679410601E-2</v>
      </c>
      <c r="Q26" t="s">
        <v>622</v>
      </c>
      <c r="S26" s="11" t="s">
        <v>70</v>
      </c>
      <c r="Z26" s="37" t="s">
        <v>23</v>
      </c>
      <c r="AA26" s="29"/>
      <c r="AB26" s="70" t="s">
        <v>42</v>
      </c>
      <c r="AC26" s="70"/>
      <c r="AD26" s="70"/>
      <c r="AE26" s="70"/>
      <c r="AF26" s="70"/>
      <c r="AG26" s="70"/>
      <c r="AH26" s="70"/>
      <c r="AI26" s="70"/>
      <c r="AJ26" s="70"/>
      <c r="AK26" s="17"/>
      <c r="AL26" s="17"/>
      <c r="AX26" t="s">
        <v>649</v>
      </c>
      <c r="AY26">
        <v>1399513630</v>
      </c>
      <c r="AZ26">
        <v>987262576</v>
      </c>
    </row>
    <row r="27" spans="1:52" x14ac:dyDescent="0.2">
      <c r="A27" t="s">
        <v>125</v>
      </c>
      <c r="B27">
        <v>3081971</v>
      </c>
      <c r="C27">
        <v>33865</v>
      </c>
      <c r="D27">
        <v>54085</v>
      </c>
      <c r="E27">
        <v>310350529</v>
      </c>
      <c r="F27">
        <v>108.1464</v>
      </c>
      <c r="G27">
        <v>1.1436999999999999</v>
      </c>
      <c r="H27">
        <v>9455.8340000000007</v>
      </c>
      <c r="I27">
        <v>1.7849999999999999</v>
      </c>
      <c r="M27" t="s">
        <v>423</v>
      </c>
      <c r="N27">
        <v>-2.6265275545632821E-2</v>
      </c>
      <c r="O27">
        <v>-3.1389503796977553E-2</v>
      </c>
      <c r="P27">
        <v>4.9234787529550674E-3</v>
      </c>
      <c r="Q27" t="s">
        <v>622</v>
      </c>
      <c r="S27" s="11" t="s">
        <v>71</v>
      </c>
      <c r="Z27" s="34"/>
      <c r="AA27" s="51"/>
      <c r="AB27" s="15"/>
      <c r="AC27" s="15"/>
      <c r="AD27" s="15"/>
      <c r="AE27" s="16"/>
      <c r="AF27" s="16"/>
      <c r="AG27" s="15"/>
      <c r="AH27" s="16"/>
      <c r="AI27" s="16"/>
      <c r="AJ27" s="16"/>
      <c r="AK27" s="16"/>
      <c r="AL27" s="16"/>
      <c r="AX27" t="s">
        <v>650</v>
      </c>
      <c r="AY27">
        <v>1454224800</v>
      </c>
      <c r="AZ27">
        <v>968831888</v>
      </c>
    </row>
    <row r="28" spans="1:52" x14ac:dyDescent="0.2">
      <c r="A28" t="s">
        <v>126</v>
      </c>
      <c r="B28">
        <v>3112330</v>
      </c>
      <c r="C28">
        <v>33601</v>
      </c>
      <c r="D28">
        <v>52332</v>
      </c>
      <c r="E28">
        <v>324746733</v>
      </c>
      <c r="F28">
        <v>106.2136</v>
      </c>
      <c r="G28">
        <v>1.1143000000000001</v>
      </c>
      <c r="H28">
        <v>9531.7448000000004</v>
      </c>
      <c r="I28">
        <v>1.7475000000000001</v>
      </c>
      <c r="M28" t="s">
        <v>424</v>
      </c>
      <c r="N28">
        <v>7.2543044384642125E-3</v>
      </c>
      <c r="O28">
        <v>-1.204004094209526E-2</v>
      </c>
      <c r="P28">
        <v>1.9301822343973686E-2</v>
      </c>
      <c r="Q28" t="s">
        <v>622</v>
      </c>
      <c r="S28" s="11" t="s">
        <v>72</v>
      </c>
      <c r="Z28" s="17"/>
      <c r="AA28" s="27"/>
      <c r="AB28" s="15" t="s">
        <v>45</v>
      </c>
      <c r="AC28" s="15"/>
      <c r="AD28" s="15"/>
      <c r="AE28" s="16"/>
      <c r="AF28" s="15" t="s">
        <v>41</v>
      </c>
      <c r="AG28" s="15"/>
      <c r="AH28" s="16"/>
      <c r="AI28" s="16"/>
      <c r="AJ28" s="16"/>
      <c r="AK28" s="16"/>
      <c r="AL28" s="16"/>
      <c r="AX28" t="s">
        <v>651</v>
      </c>
      <c r="AY28">
        <v>1473189165</v>
      </c>
      <c r="AZ28">
        <v>920373524</v>
      </c>
    </row>
    <row r="29" spans="1:52" x14ac:dyDescent="0.2">
      <c r="A29" t="s">
        <v>127</v>
      </c>
      <c r="B29">
        <v>3138240</v>
      </c>
      <c r="C29">
        <v>32076</v>
      </c>
      <c r="D29">
        <v>50409</v>
      </c>
      <c r="E29">
        <v>309933301</v>
      </c>
      <c r="F29">
        <v>103.18040000000001</v>
      </c>
      <c r="G29">
        <v>1.0854999999999999</v>
      </c>
      <c r="H29">
        <v>9505.1594999999998</v>
      </c>
      <c r="I29">
        <v>1.7063999999999999</v>
      </c>
      <c r="M29" t="s">
        <v>425</v>
      </c>
      <c r="N29">
        <v>2.3044841984172144E-3</v>
      </c>
      <c r="O29">
        <v>-2.4197238621940863E-2</v>
      </c>
      <c r="P29">
        <v>2.6123832752797796E-2</v>
      </c>
      <c r="Q29" t="s">
        <v>622</v>
      </c>
      <c r="S29" s="11" t="s">
        <v>73</v>
      </c>
      <c r="Z29" s="17"/>
      <c r="AA29" s="27"/>
      <c r="AB29" s="15"/>
      <c r="AC29" s="15"/>
      <c r="AD29" s="15"/>
      <c r="AE29" s="16"/>
      <c r="AF29" s="16"/>
      <c r="AG29" s="15"/>
      <c r="AH29" s="16"/>
      <c r="AI29" s="16"/>
      <c r="AJ29" s="16"/>
      <c r="AK29" s="16"/>
      <c r="AL29" s="16"/>
      <c r="AX29" t="s">
        <v>652</v>
      </c>
      <c r="AY29">
        <v>1493734974</v>
      </c>
      <c r="AZ29">
        <v>998309286</v>
      </c>
    </row>
    <row r="30" spans="1:52" x14ac:dyDescent="0.2">
      <c r="A30" t="s">
        <v>128</v>
      </c>
      <c r="B30">
        <v>3153499</v>
      </c>
      <c r="C30">
        <v>31024</v>
      </c>
      <c r="D30">
        <v>50283</v>
      </c>
      <c r="E30">
        <v>300016735</v>
      </c>
      <c r="F30">
        <v>99.715100000000007</v>
      </c>
      <c r="G30">
        <v>1.0457000000000001</v>
      </c>
      <c r="H30">
        <v>9535.7695999999996</v>
      </c>
      <c r="I30">
        <v>1.6587000000000001</v>
      </c>
      <c r="M30" t="s">
        <v>426</v>
      </c>
      <c r="N30">
        <v>-0.11826780922109505</v>
      </c>
      <c r="O30">
        <v>-0.10737651429494413</v>
      </c>
      <c r="P30">
        <v>-1.2070976925778087E-2</v>
      </c>
      <c r="Q30" t="s">
        <v>622</v>
      </c>
      <c r="S30" s="11" t="s">
        <v>74</v>
      </c>
      <c r="Z30" s="18"/>
      <c r="AA30" s="52"/>
      <c r="AB30" s="19"/>
      <c r="AC30" s="19"/>
      <c r="AD30" s="19"/>
      <c r="AE30" s="20"/>
      <c r="AF30" s="20" t="s">
        <v>47</v>
      </c>
      <c r="AG30" s="19"/>
      <c r="AH30" s="20" t="s">
        <v>47</v>
      </c>
      <c r="AI30" s="20"/>
      <c r="AJ30" s="20" t="s">
        <v>47</v>
      </c>
      <c r="AK30" s="20"/>
      <c r="AL30" s="20" t="s">
        <v>47</v>
      </c>
      <c r="AX30" t="s">
        <v>653</v>
      </c>
      <c r="AY30">
        <v>1491548065</v>
      </c>
      <c r="AZ30">
        <v>892233601</v>
      </c>
    </row>
    <row r="31" spans="1:52" x14ac:dyDescent="0.2">
      <c r="A31" t="s">
        <v>129</v>
      </c>
      <c r="B31">
        <v>3157936</v>
      </c>
      <c r="C31">
        <v>32040</v>
      </c>
      <c r="D31">
        <v>50755</v>
      </c>
      <c r="E31">
        <v>320786597</v>
      </c>
      <c r="F31">
        <v>99.942899999999995</v>
      </c>
      <c r="G31">
        <v>1.0247999999999999</v>
      </c>
      <c r="H31">
        <v>9752.0087999999996</v>
      </c>
      <c r="I31">
        <v>1.6222000000000001</v>
      </c>
      <c r="M31" t="s">
        <v>427</v>
      </c>
      <c r="N31">
        <v>1.6317774953537808E-2</v>
      </c>
      <c r="O31">
        <v>-5.4085172780160867E-2</v>
      </c>
      <c r="P31">
        <v>6.9997194837857629E-2</v>
      </c>
      <c r="Q31" t="s">
        <v>622</v>
      </c>
      <c r="S31" s="11" t="s">
        <v>75</v>
      </c>
      <c r="Z31" s="17"/>
      <c r="AA31" s="52"/>
      <c r="AB31" s="19" t="s">
        <v>48</v>
      </c>
      <c r="AC31" s="19" t="s">
        <v>48</v>
      </c>
      <c r="AD31" s="19"/>
      <c r="AE31" s="19" t="s">
        <v>7</v>
      </c>
      <c r="AF31" s="20" t="s">
        <v>49</v>
      </c>
      <c r="AG31" s="19" t="s">
        <v>7</v>
      </c>
      <c r="AH31" s="20" t="s">
        <v>49</v>
      </c>
      <c r="AI31" s="20"/>
      <c r="AJ31" s="20" t="s">
        <v>49</v>
      </c>
      <c r="AK31" s="20" t="s">
        <v>8</v>
      </c>
      <c r="AL31" s="20" t="s">
        <v>49</v>
      </c>
      <c r="AX31" t="s">
        <v>654</v>
      </c>
      <c r="AY31">
        <v>1484095983</v>
      </c>
      <c r="AZ31">
        <v>953577752</v>
      </c>
    </row>
    <row r="32" spans="1:52" x14ac:dyDescent="0.2">
      <c r="A32" t="s">
        <v>130</v>
      </c>
      <c r="B32">
        <v>3193959</v>
      </c>
      <c r="C32">
        <v>33425</v>
      </c>
      <c r="D32">
        <v>47900</v>
      </c>
      <c r="E32">
        <v>330691309</v>
      </c>
      <c r="F32">
        <v>99.767799999999994</v>
      </c>
      <c r="G32">
        <v>1.0167999999999999</v>
      </c>
      <c r="H32">
        <v>9811.5967999999993</v>
      </c>
      <c r="I32">
        <v>1.5767</v>
      </c>
      <c r="M32" t="s">
        <v>428</v>
      </c>
      <c r="N32">
        <v>1.8692410353345545E-3</v>
      </c>
      <c r="O32">
        <v>-5.6874808668507311E-2</v>
      </c>
      <c r="P32">
        <v>5.8725330596139512E-2</v>
      </c>
      <c r="Q32" t="s">
        <v>622</v>
      </c>
      <c r="S32" t="str">
        <f>IF(PIP="","","PIP -- Quarter Ending")</f>
        <v>PIP -- Quarter Ending</v>
      </c>
      <c r="Z32" s="47" t="s">
        <v>20</v>
      </c>
      <c r="AA32" s="52" t="s">
        <v>50</v>
      </c>
      <c r="AB32" s="19" t="s">
        <v>7</v>
      </c>
      <c r="AC32" s="19" t="s">
        <v>51</v>
      </c>
      <c r="AD32" s="19" t="s">
        <v>7</v>
      </c>
      <c r="AE32" s="20" t="s">
        <v>11</v>
      </c>
      <c r="AF32" s="20" t="s">
        <v>52</v>
      </c>
      <c r="AG32" s="19" t="s">
        <v>11</v>
      </c>
      <c r="AH32" s="20" t="s">
        <v>52</v>
      </c>
      <c r="AI32" s="20" t="s">
        <v>10</v>
      </c>
      <c r="AJ32" s="20" t="s">
        <v>52</v>
      </c>
      <c r="AK32" s="20" t="s">
        <v>11</v>
      </c>
      <c r="AL32" s="20" t="s">
        <v>52</v>
      </c>
      <c r="AX32" t="s">
        <v>655</v>
      </c>
      <c r="AY32">
        <v>1501293849</v>
      </c>
      <c r="AZ32">
        <v>1001599493</v>
      </c>
    </row>
    <row r="33" spans="1:52" x14ac:dyDescent="0.2">
      <c r="A33" t="s">
        <v>131</v>
      </c>
      <c r="B33">
        <v>3219368</v>
      </c>
      <c r="C33">
        <v>32269</v>
      </c>
      <c r="D33">
        <v>47715</v>
      </c>
      <c r="E33">
        <v>328107232</v>
      </c>
      <c r="F33">
        <v>100.56</v>
      </c>
      <c r="G33">
        <v>1.0119</v>
      </c>
      <c r="H33">
        <v>9938.0378000000001</v>
      </c>
      <c r="I33">
        <v>1.5454000000000001</v>
      </c>
      <c r="M33" t="s">
        <v>429</v>
      </c>
      <c r="N33">
        <v>6.6574244991615432E-3</v>
      </c>
      <c r="O33">
        <v>-5.9500472696310071E-2</v>
      </c>
      <c r="P33">
        <v>6.5631087619380218E-2</v>
      </c>
      <c r="Q33" t="s">
        <v>622</v>
      </c>
      <c r="S33" t="str">
        <f>IF(PIP="","","PIP -- Year Ending")</f>
        <v>PIP -- Year Ending</v>
      </c>
      <c r="Z33" s="48" t="s">
        <v>19</v>
      </c>
      <c r="AA33" s="53" t="s">
        <v>53</v>
      </c>
      <c r="AB33" s="49" t="s">
        <v>51</v>
      </c>
      <c r="AC33" s="49" t="s">
        <v>8</v>
      </c>
      <c r="AD33" s="49" t="s">
        <v>54</v>
      </c>
      <c r="AE33" s="50" t="s">
        <v>13</v>
      </c>
      <c r="AF33" s="50" t="s">
        <v>6</v>
      </c>
      <c r="AG33" s="49" t="s">
        <v>22</v>
      </c>
      <c r="AH33" s="50" t="s">
        <v>6</v>
      </c>
      <c r="AI33" s="50" t="s">
        <v>55</v>
      </c>
      <c r="AJ33" s="50" t="s">
        <v>6</v>
      </c>
      <c r="AK33" s="50" t="s">
        <v>13</v>
      </c>
      <c r="AL33" s="50" t="s">
        <v>6</v>
      </c>
      <c r="AX33" t="s">
        <v>656</v>
      </c>
      <c r="AY33">
        <v>1511989439</v>
      </c>
      <c r="AZ33">
        <v>1029967236</v>
      </c>
    </row>
    <row r="34" spans="1:52" x14ac:dyDescent="0.2">
      <c r="A34" t="s">
        <v>132</v>
      </c>
      <c r="B34">
        <v>3238257</v>
      </c>
      <c r="C34">
        <v>32013</v>
      </c>
      <c r="D34">
        <v>49433</v>
      </c>
      <c r="E34">
        <v>326933584</v>
      </c>
      <c r="F34">
        <v>101.99590000000001</v>
      </c>
      <c r="G34">
        <v>1.0128999999999999</v>
      </c>
      <c r="H34">
        <v>10069.7413</v>
      </c>
      <c r="I34">
        <v>1.5286</v>
      </c>
      <c r="M34" t="s">
        <v>430</v>
      </c>
      <c r="N34">
        <v>6.0616942183079781E-2</v>
      </c>
      <c r="O34">
        <v>-9.4255876792249775E-3</v>
      </c>
      <c r="P34">
        <v>7.0063926923574438E-2</v>
      </c>
      <c r="Q34" t="s">
        <v>622</v>
      </c>
      <c r="S34" t="str">
        <f>IF(PPI="","","PPI -- Quarter Ending")</f>
        <v>PPI -- Quarter Ending</v>
      </c>
      <c r="AX34" t="s">
        <v>657</v>
      </c>
      <c r="AY34">
        <v>1529433508</v>
      </c>
      <c r="AZ34">
        <v>1073010600</v>
      </c>
    </row>
    <row r="35" spans="1:52" x14ac:dyDescent="0.2">
      <c r="A35" t="s">
        <v>133</v>
      </c>
      <c r="B35">
        <v>3260485</v>
      </c>
      <c r="C35">
        <v>31768</v>
      </c>
      <c r="D35">
        <v>48105</v>
      </c>
      <c r="E35">
        <v>342469697</v>
      </c>
      <c r="F35">
        <v>102.8651</v>
      </c>
      <c r="G35">
        <v>1.0026999999999999</v>
      </c>
      <c r="H35">
        <v>10258.365100000001</v>
      </c>
      <c r="I35">
        <v>1.4959</v>
      </c>
      <c r="M35" t="s">
        <v>431</v>
      </c>
      <c r="N35">
        <v>9.002280078216611E-2</v>
      </c>
      <c r="O35">
        <v>7.8181600586128778E-3</v>
      </c>
      <c r="P35">
        <v>8.2163701695509322E-2</v>
      </c>
      <c r="Q35" t="s">
        <v>622</v>
      </c>
      <c r="S35" t="str">
        <f>IF(PPI="","","PPI -- Year Ending")</f>
        <v>PPI -- Year Ending</v>
      </c>
      <c r="AX35" t="s">
        <v>658</v>
      </c>
      <c r="AY35">
        <v>1500912121</v>
      </c>
      <c r="AZ35">
        <v>1009562345</v>
      </c>
    </row>
    <row r="36" spans="1:52" x14ac:dyDescent="0.2">
      <c r="A36" t="s">
        <v>134</v>
      </c>
      <c r="B36">
        <v>3310992</v>
      </c>
      <c r="C36">
        <v>31397</v>
      </c>
      <c r="D36">
        <v>47660</v>
      </c>
      <c r="E36">
        <v>331884245</v>
      </c>
      <c r="F36">
        <v>102.03270000000001</v>
      </c>
      <c r="G36">
        <v>0.97819999999999996</v>
      </c>
      <c r="H36">
        <v>10430.961600000001</v>
      </c>
      <c r="I36">
        <v>1.4805999999999999</v>
      </c>
      <c r="M36" t="s">
        <v>432</v>
      </c>
      <c r="N36">
        <v>-2.4211744444547725E-2</v>
      </c>
      <c r="O36">
        <v>-4.0108869408566589E-2</v>
      </c>
      <c r="P36">
        <v>1.7446622924910341E-2</v>
      </c>
      <c r="Q36" t="s">
        <v>622</v>
      </c>
      <c r="AX36" t="s">
        <v>659</v>
      </c>
      <c r="AY36">
        <v>1517676077</v>
      </c>
      <c r="AZ36">
        <v>1036862914</v>
      </c>
    </row>
    <row r="37" spans="1:52" x14ac:dyDescent="0.2">
      <c r="A37" t="s">
        <v>135</v>
      </c>
      <c r="B37">
        <v>3341472</v>
      </c>
      <c r="C37">
        <v>30748</v>
      </c>
      <c r="D37">
        <v>47955</v>
      </c>
      <c r="E37">
        <v>338713732</v>
      </c>
      <c r="F37">
        <v>101.89190000000001</v>
      </c>
      <c r="G37">
        <v>0.95750000000000002</v>
      </c>
      <c r="H37">
        <v>10641.180200000001</v>
      </c>
      <c r="I37">
        <v>1.4686999999999999</v>
      </c>
      <c r="M37" t="s">
        <v>433</v>
      </c>
      <c r="N37">
        <v>-1.964953432174164E-2</v>
      </c>
      <c r="O37">
        <v>-5.357337477546574E-2</v>
      </c>
      <c r="P37">
        <v>3.3032553532116468E-2</v>
      </c>
      <c r="Q37" t="s">
        <v>622</v>
      </c>
      <c r="S37" s="11" t="s">
        <v>39</v>
      </c>
      <c r="AX37" t="s">
        <v>660</v>
      </c>
      <c r="AY37">
        <v>1515372833</v>
      </c>
      <c r="AZ37">
        <v>1076405035</v>
      </c>
    </row>
    <row r="38" spans="1:52" x14ac:dyDescent="0.2">
      <c r="A38" t="s">
        <v>136</v>
      </c>
      <c r="B38">
        <v>3346005</v>
      </c>
      <c r="C38">
        <v>31251</v>
      </c>
      <c r="D38">
        <v>49575</v>
      </c>
      <c r="E38">
        <v>350632016</v>
      </c>
      <c r="F38">
        <v>102.85120000000001</v>
      </c>
      <c r="G38">
        <v>0.94399999999999995</v>
      </c>
      <c r="H38">
        <v>10895.302900000001</v>
      </c>
      <c r="I38">
        <v>1.4578</v>
      </c>
      <c r="M38" t="s">
        <v>434</v>
      </c>
      <c r="N38">
        <v>-0.10928887219455483</v>
      </c>
      <c r="O38">
        <v>-9.9996251789770341E-2</v>
      </c>
      <c r="P38">
        <v>-9.5940130490714415E-3</v>
      </c>
      <c r="Q38" t="s">
        <v>622</v>
      </c>
      <c r="S38" s="11" t="s">
        <v>76</v>
      </c>
      <c r="AX38" t="s">
        <v>661</v>
      </c>
      <c r="AY38">
        <v>1526701661</v>
      </c>
      <c r="AZ38">
        <v>1049148297</v>
      </c>
    </row>
    <row r="39" spans="1:52" x14ac:dyDescent="0.2">
      <c r="A39" t="s">
        <v>137</v>
      </c>
      <c r="B39">
        <v>3361607</v>
      </c>
      <c r="C39">
        <v>30742</v>
      </c>
      <c r="D39">
        <v>48107</v>
      </c>
      <c r="E39">
        <v>350969413</v>
      </c>
      <c r="F39">
        <v>102.709</v>
      </c>
      <c r="G39">
        <v>0.92920000000000003</v>
      </c>
      <c r="H39">
        <v>11053.822399999999</v>
      </c>
      <c r="I39">
        <v>1.4468000000000001</v>
      </c>
      <c r="M39" t="s">
        <v>435</v>
      </c>
      <c r="N39">
        <v>-4.6668657159326471E-2</v>
      </c>
      <c r="O39">
        <v>-4.489821837672775E-2</v>
      </c>
      <c r="P39">
        <v>-1.9346765149148904E-3</v>
      </c>
      <c r="Q39" t="s">
        <v>622</v>
      </c>
      <c r="S39" s="11" t="s">
        <v>77</v>
      </c>
      <c r="AX39" t="s">
        <v>662</v>
      </c>
      <c r="AY39">
        <v>1502920767</v>
      </c>
      <c r="AZ39">
        <v>1023169540</v>
      </c>
    </row>
    <row r="40" spans="1:52" x14ac:dyDescent="0.2">
      <c r="A40" t="s">
        <v>138</v>
      </c>
      <c r="B40">
        <v>3386700</v>
      </c>
      <c r="C40">
        <v>31712</v>
      </c>
      <c r="D40">
        <v>45646</v>
      </c>
      <c r="E40">
        <v>351515739</v>
      </c>
      <c r="F40">
        <v>103.5913</v>
      </c>
      <c r="G40">
        <v>0.92630000000000001</v>
      </c>
      <c r="H40">
        <v>11183.586600000001</v>
      </c>
      <c r="I40">
        <v>1.4237</v>
      </c>
      <c r="M40" t="s">
        <v>436</v>
      </c>
      <c r="N40">
        <v>-7.3364982432550666E-3</v>
      </c>
      <c r="O40">
        <v>-1.7589213676383011E-2</v>
      </c>
      <c r="P40">
        <v>1.0190353686601568E-2</v>
      </c>
      <c r="Q40" t="s">
        <v>622</v>
      </c>
      <c r="S40" s="11" t="s">
        <v>78</v>
      </c>
      <c r="AX40" t="s">
        <v>663</v>
      </c>
      <c r="AY40">
        <v>1503848654</v>
      </c>
      <c r="AZ40">
        <v>1062051235</v>
      </c>
    </row>
    <row r="41" spans="1:52" x14ac:dyDescent="0.2">
      <c r="A41" t="s">
        <v>139</v>
      </c>
      <c r="B41">
        <v>3415444</v>
      </c>
      <c r="C41">
        <v>30894</v>
      </c>
      <c r="D41">
        <v>43948</v>
      </c>
      <c r="E41">
        <v>346088955</v>
      </c>
      <c r="F41">
        <v>103.5701</v>
      </c>
      <c r="G41">
        <v>0.92230000000000001</v>
      </c>
      <c r="H41">
        <v>11229.6738</v>
      </c>
      <c r="I41">
        <v>1.3862000000000001</v>
      </c>
      <c r="M41" t="s">
        <v>437</v>
      </c>
      <c r="N41">
        <v>6.2912683340359743E-3</v>
      </c>
      <c r="O41">
        <v>-1.9144028673249661E-2</v>
      </c>
      <c r="P41">
        <v>2.5102387040518214E-2</v>
      </c>
      <c r="Q41" t="s">
        <v>622</v>
      </c>
      <c r="S41" s="11" t="s">
        <v>79</v>
      </c>
      <c r="AX41" t="s">
        <v>664</v>
      </c>
      <c r="AY41">
        <v>1510617124</v>
      </c>
      <c r="AZ41">
        <v>978081014</v>
      </c>
    </row>
    <row r="42" spans="1:52" x14ac:dyDescent="0.2">
      <c r="A42" t="s">
        <v>140</v>
      </c>
      <c r="B42">
        <v>3428259</v>
      </c>
      <c r="C42">
        <v>30113</v>
      </c>
      <c r="D42">
        <v>45283</v>
      </c>
      <c r="E42">
        <v>342507052</v>
      </c>
      <c r="F42">
        <v>102.3455</v>
      </c>
      <c r="G42">
        <v>0.9083</v>
      </c>
      <c r="H42">
        <v>11267.3732</v>
      </c>
      <c r="I42">
        <v>1.3463000000000001</v>
      </c>
      <c r="M42" t="s">
        <v>438</v>
      </c>
      <c r="N42">
        <v>-4.8402117798897068E-2</v>
      </c>
      <c r="O42">
        <v>-5.5656744858400733E-2</v>
      </c>
      <c r="P42">
        <v>7.2341838020422719E-3</v>
      </c>
      <c r="Q42" t="s">
        <v>622</v>
      </c>
      <c r="AX42" t="s">
        <v>665</v>
      </c>
      <c r="AY42">
        <v>1508575316</v>
      </c>
      <c r="AZ42">
        <v>975324977</v>
      </c>
    </row>
    <row r="43" spans="1:52" x14ac:dyDescent="0.2">
      <c r="A43" t="s">
        <v>141</v>
      </c>
      <c r="B43">
        <v>3430271</v>
      </c>
      <c r="C43">
        <v>30183</v>
      </c>
      <c r="D43">
        <v>46836</v>
      </c>
      <c r="E43">
        <v>333184134</v>
      </c>
      <c r="F43">
        <v>100.5291</v>
      </c>
      <c r="G43">
        <v>0.89970000000000006</v>
      </c>
      <c r="H43">
        <v>11173.909900000001</v>
      </c>
      <c r="I43">
        <v>1.3302</v>
      </c>
      <c r="M43" t="s">
        <v>439</v>
      </c>
      <c r="N43">
        <v>-1.9293967829733182E-3</v>
      </c>
      <c r="O43">
        <v>-1.3083570231049375E-2</v>
      </c>
      <c r="P43">
        <v>1.1229370193594882E-2</v>
      </c>
      <c r="Q43" t="s">
        <v>622</v>
      </c>
      <c r="S43" t="s">
        <v>38</v>
      </c>
      <c r="AX43" t="s">
        <v>666</v>
      </c>
      <c r="AY43">
        <v>1496086783</v>
      </c>
      <c r="AZ43">
        <v>1025950188</v>
      </c>
    </row>
    <row r="44" spans="1:52" x14ac:dyDescent="0.2">
      <c r="A44" t="s">
        <v>142</v>
      </c>
      <c r="B44">
        <v>19227832</v>
      </c>
      <c r="C44">
        <v>219166</v>
      </c>
      <c r="D44">
        <v>309499</v>
      </c>
      <c r="E44">
        <v>2045946328</v>
      </c>
      <c r="F44">
        <v>106.4055</v>
      </c>
      <c r="G44">
        <v>1.1397999999999999</v>
      </c>
      <c r="H44">
        <v>9335.1447000000007</v>
      </c>
      <c r="I44">
        <v>1.6095999999999999</v>
      </c>
      <c r="M44" t="s">
        <v>440</v>
      </c>
      <c r="N44">
        <v>7.0523995557847489E-3</v>
      </c>
      <c r="O44">
        <v>-1.2039223599150524E-2</v>
      </c>
      <c r="P44">
        <v>1.9040156678081389E-2</v>
      </c>
      <c r="Q44" t="s">
        <v>622</v>
      </c>
      <c r="S44" t="s">
        <v>24</v>
      </c>
      <c r="AX44" t="s">
        <v>667</v>
      </c>
      <c r="AY44">
        <v>13239909574</v>
      </c>
      <c r="AZ44">
        <v>10568489263</v>
      </c>
    </row>
    <row r="45" spans="1:52" x14ac:dyDescent="0.2">
      <c r="A45" t="s">
        <v>143</v>
      </c>
      <c r="B45">
        <v>19633870</v>
      </c>
      <c r="C45">
        <v>218234</v>
      </c>
      <c r="D45">
        <v>317330</v>
      </c>
      <c r="E45">
        <v>2135297529</v>
      </c>
      <c r="F45">
        <v>107.5929</v>
      </c>
      <c r="G45">
        <v>1.1254999999999999</v>
      </c>
      <c r="H45">
        <v>9559.3137999999999</v>
      </c>
      <c r="I45">
        <v>1.613</v>
      </c>
      <c r="M45" t="s">
        <v>441</v>
      </c>
      <c r="N45">
        <v>7.711497425561902E-3</v>
      </c>
      <c r="O45">
        <v>-1.6400850956113926E-2</v>
      </c>
      <c r="P45">
        <v>2.3951824533133031E-2</v>
      </c>
      <c r="Q45" t="s">
        <v>622</v>
      </c>
      <c r="S45" t="s">
        <v>25</v>
      </c>
      <c r="AX45" t="s">
        <v>668</v>
      </c>
      <c r="AY45">
        <v>13537503499</v>
      </c>
      <c r="AZ45">
        <v>10497305835</v>
      </c>
    </row>
    <row r="46" spans="1:52" x14ac:dyDescent="0.2">
      <c r="A46" t="s">
        <v>144</v>
      </c>
      <c r="B46">
        <v>19778162</v>
      </c>
      <c r="C46">
        <v>213993</v>
      </c>
      <c r="D46">
        <v>317484</v>
      </c>
      <c r="E46">
        <v>2128152079</v>
      </c>
      <c r="F46">
        <v>107.59569999999999</v>
      </c>
      <c r="G46">
        <v>1.1108</v>
      </c>
      <c r="H46">
        <v>9686.0051000000003</v>
      </c>
      <c r="I46">
        <v>1.6104000000000001</v>
      </c>
      <c r="M46" t="s">
        <v>442</v>
      </c>
      <c r="N46">
        <v>-3.0750813009284252E-2</v>
      </c>
      <c r="O46">
        <v>-4.461278380518284E-2</v>
      </c>
      <c r="P46">
        <v>1.3833899227268151E-2</v>
      </c>
      <c r="Q46" t="s">
        <v>622</v>
      </c>
      <c r="S46" t="s">
        <v>26</v>
      </c>
      <c r="AX46" t="s">
        <v>669</v>
      </c>
      <c r="AY46">
        <v>13690535664</v>
      </c>
      <c r="AZ46">
        <v>10058937962</v>
      </c>
    </row>
    <row r="47" spans="1:52" x14ac:dyDescent="0.2">
      <c r="A47" t="s">
        <v>145</v>
      </c>
      <c r="B47">
        <v>19828812</v>
      </c>
      <c r="C47">
        <v>219974</v>
      </c>
      <c r="D47">
        <v>325399</v>
      </c>
      <c r="E47">
        <v>2208973665</v>
      </c>
      <c r="F47">
        <v>108.55759999999999</v>
      </c>
      <c r="G47">
        <v>1.1105</v>
      </c>
      <c r="H47">
        <v>9775.8690000000006</v>
      </c>
      <c r="I47">
        <v>1.6181000000000001</v>
      </c>
      <c r="M47" t="s">
        <v>443</v>
      </c>
      <c r="N47">
        <v>-3.6226259110088525E-3</v>
      </c>
      <c r="O47">
        <v>-2.1321981675834132E-2</v>
      </c>
      <c r="P47">
        <v>1.7795970559659608E-2</v>
      </c>
      <c r="Q47" t="s">
        <v>622</v>
      </c>
      <c r="S47" t="s">
        <v>27</v>
      </c>
      <c r="AX47" t="s">
        <v>670</v>
      </c>
      <c r="AY47">
        <v>13638119672</v>
      </c>
      <c r="AZ47">
        <v>10831689054</v>
      </c>
    </row>
    <row r="48" spans="1:52" x14ac:dyDescent="0.2">
      <c r="A48" t="s">
        <v>146</v>
      </c>
      <c r="B48">
        <v>19844082</v>
      </c>
      <c r="C48">
        <v>214170</v>
      </c>
      <c r="D48">
        <v>307724</v>
      </c>
      <c r="E48">
        <v>2077110079</v>
      </c>
      <c r="F48">
        <v>108.1057</v>
      </c>
      <c r="G48">
        <v>1.0954999999999999</v>
      </c>
      <c r="H48">
        <v>9868.2127999999993</v>
      </c>
      <c r="I48">
        <v>1.6032999999999999</v>
      </c>
      <c r="M48" t="s">
        <v>444</v>
      </c>
      <c r="N48">
        <v>9.9391184798044274E-3</v>
      </c>
      <c r="O48">
        <v>-1.0649389067060125E-2</v>
      </c>
      <c r="P48">
        <v>2.0670718622621032E-2</v>
      </c>
      <c r="Q48" t="s">
        <v>622</v>
      </c>
      <c r="S48" t="s">
        <v>28</v>
      </c>
      <c r="AX48" t="s">
        <v>671</v>
      </c>
      <c r="AY48">
        <v>13665410475</v>
      </c>
      <c r="AZ48">
        <v>10696298517</v>
      </c>
    </row>
    <row r="49" spans="1:52" x14ac:dyDescent="0.2">
      <c r="A49" t="s">
        <v>147</v>
      </c>
      <c r="B49">
        <v>20100520</v>
      </c>
      <c r="C49">
        <v>214179</v>
      </c>
      <c r="D49">
        <v>314339</v>
      </c>
      <c r="E49">
        <v>2153264592</v>
      </c>
      <c r="F49">
        <v>107.6974</v>
      </c>
      <c r="G49">
        <v>1.0840000000000001</v>
      </c>
      <c r="H49">
        <v>9935.4534000000003</v>
      </c>
      <c r="I49">
        <v>1.5901000000000001</v>
      </c>
      <c r="M49" t="s">
        <v>445</v>
      </c>
      <c r="N49">
        <v>8.7718754778916171E-3</v>
      </c>
      <c r="O49">
        <v>-1.6649462015118521E-2</v>
      </c>
      <c r="P49">
        <v>2.5263033137238825E-2</v>
      </c>
      <c r="Q49" t="s">
        <v>622</v>
      </c>
      <c r="S49" t="s">
        <v>29</v>
      </c>
      <c r="AX49" t="s">
        <v>672</v>
      </c>
      <c r="AY49">
        <v>13805401806</v>
      </c>
      <c r="AZ49">
        <v>10535941306</v>
      </c>
    </row>
    <row r="50" spans="1:52" x14ac:dyDescent="0.2">
      <c r="A50" t="s">
        <v>148</v>
      </c>
      <c r="B50">
        <v>20269707</v>
      </c>
      <c r="C50">
        <v>208878</v>
      </c>
      <c r="D50">
        <v>304746</v>
      </c>
      <c r="E50">
        <v>2126193816</v>
      </c>
      <c r="F50">
        <v>107.0116</v>
      </c>
      <c r="G50">
        <v>1.0709</v>
      </c>
      <c r="H50">
        <v>9992.4547000000002</v>
      </c>
      <c r="I50">
        <v>1.5644</v>
      </c>
      <c r="M50" t="s">
        <v>446</v>
      </c>
      <c r="N50">
        <v>3.0486293619526587E-2</v>
      </c>
      <c r="O50">
        <v>-4.2990994932370845E-2</v>
      </c>
      <c r="P50">
        <v>7.3295254975018806E-2</v>
      </c>
      <c r="Q50">
        <v>-3.3418257455476587E-2</v>
      </c>
      <c r="S50" t="s">
        <v>30</v>
      </c>
      <c r="AX50" t="s">
        <v>673</v>
      </c>
      <c r="AY50">
        <v>13887797688</v>
      </c>
      <c r="AZ50">
        <v>10497665525</v>
      </c>
    </row>
    <row r="51" spans="1:52" x14ac:dyDescent="0.2">
      <c r="A51" t="s">
        <v>149</v>
      </c>
      <c r="B51">
        <v>20312920</v>
      </c>
      <c r="C51">
        <v>208536</v>
      </c>
      <c r="D51">
        <v>310381</v>
      </c>
      <c r="E51">
        <v>2144984875</v>
      </c>
      <c r="F51">
        <v>105.5736</v>
      </c>
      <c r="G51">
        <v>1.0503</v>
      </c>
      <c r="H51">
        <v>10051.9334</v>
      </c>
      <c r="I51">
        <v>1.5364</v>
      </c>
      <c r="M51" t="s">
        <v>447</v>
      </c>
      <c r="N51">
        <v>2.1102020068530066E-2</v>
      </c>
      <c r="O51">
        <v>-4.7233158563207846E-2</v>
      </c>
      <c r="P51">
        <v>6.8554258674382321E-2</v>
      </c>
      <c r="Q51">
        <v>-2.6339393068097645E-2</v>
      </c>
      <c r="S51" t="s">
        <v>31</v>
      </c>
      <c r="AX51" t="s">
        <v>674</v>
      </c>
      <c r="AY51">
        <v>13981189787</v>
      </c>
      <c r="AZ51">
        <v>10859558504</v>
      </c>
    </row>
    <row r="52" spans="1:52" x14ac:dyDescent="0.2">
      <c r="A52" t="s">
        <v>150</v>
      </c>
      <c r="B52">
        <v>20304751</v>
      </c>
      <c r="C52">
        <v>209772</v>
      </c>
      <c r="D52">
        <v>301083</v>
      </c>
      <c r="E52">
        <v>2138187060</v>
      </c>
      <c r="F52">
        <v>105.7273</v>
      </c>
      <c r="G52">
        <v>1.0388999999999999</v>
      </c>
      <c r="H52">
        <v>10177.069799999999</v>
      </c>
      <c r="I52">
        <v>1.5194000000000001</v>
      </c>
      <c r="M52" t="s">
        <v>448</v>
      </c>
      <c r="N52">
        <v>1.498747483023727E-2</v>
      </c>
      <c r="O52">
        <v>-5.1298606849038079E-2</v>
      </c>
      <c r="P52">
        <v>6.6101631887275344E-2</v>
      </c>
      <c r="Q52">
        <v>-1.9355182224204598E-2</v>
      </c>
      <c r="S52" t="s">
        <v>32</v>
      </c>
      <c r="AX52" t="s">
        <v>675</v>
      </c>
      <c r="AY52">
        <v>13904831634</v>
      </c>
      <c r="AZ52">
        <v>10206595654</v>
      </c>
    </row>
    <row r="53" spans="1:52" x14ac:dyDescent="0.2">
      <c r="A53" t="s">
        <v>151</v>
      </c>
      <c r="B53">
        <v>20543927</v>
      </c>
      <c r="C53">
        <v>208838</v>
      </c>
      <c r="D53">
        <v>297995</v>
      </c>
      <c r="E53">
        <v>2172479840</v>
      </c>
      <c r="F53">
        <v>105.3875</v>
      </c>
      <c r="G53">
        <v>1.0266999999999999</v>
      </c>
      <c r="H53">
        <v>10265.0708</v>
      </c>
      <c r="I53">
        <v>1.4911000000000001</v>
      </c>
      <c r="M53" t="s">
        <v>449</v>
      </c>
      <c r="N53">
        <v>1.0709108868021469E-3</v>
      </c>
      <c r="O53">
        <v>-4.9796934971340828E-2</v>
      </c>
      <c r="P53">
        <v>5.1476519739662246E-2</v>
      </c>
      <c r="Q53">
        <v>-3.1521425160784509E-2</v>
      </c>
      <c r="S53" t="s">
        <v>33</v>
      </c>
      <c r="AX53" t="s">
        <v>676</v>
      </c>
      <c r="AY53">
        <v>14046140072</v>
      </c>
      <c r="AZ53">
        <v>10160189499</v>
      </c>
    </row>
    <row r="54" spans="1:52" x14ac:dyDescent="0.2">
      <c r="A54" t="s">
        <v>152</v>
      </c>
      <c r="B54">
        <v>20639682</v>
      </c>
      <c r="C54">
        <v>203579</v>
      </c>
      <c r="D54">
        <v>290604</v>
      </c>
      <c r="E54">
        <v>2165246241</v>
      </c>
      <c r="F54">
        <v>105.3883</v>
      </c>
      <c r="G54">
        <v>1.0155000000000001</v>
      </c>
      <c r="H54">
        <v>10377.5594</v>
      </c>
      <c r="I54">
        <v>1.4670000000000001</v>
      </c>
      <c r="M54" t="s">
        <v>450</v>
      </c>
      <c r="N54">
        <v>4.3062009613768701E-3</v>
      </c>
      <c r="O54">
        <v>-3.1315611544073503E-3</v>
      </c>
      <c r="P54">
        <v>7.5809769741793072E-3</v>
      </c>
      <c r="Q54" t="s">
        <v>622</v>
      </c>
      <c r="S54" t="s">
        <v>34</v>
      </c>
      <c r="AX54" t="s">
        <v>677</v>
      </c>
      <c r="AY54">
        <v>14102019545</v>
      </c>
      <c r="AZ54">
        <v>10253420848</v>
      </c>
    </row>
    <row r="55" spans="1:52" x14ac:dyDescent="0.2">
      <c r="A55" t="s">
        <v>153</v>
      </c>
      <c r="B55">
        <v>20612341</v>
      </c>
      <c r="C55">
        <v>208991</v>
      </c>
      <c r="D55">
        <v>307788</v>
      </c>
      <c r="E55">
        <v>2279407556</v>
      </c>
      <c r="F55">
        <v>106.6412</v>
      </c>
      <c r="G55">
        <v>1.0124</v>
      </c>
      <c r="H55">
        <v>10533.6037</v>
      </c>
      <c r="I55">
        <v>1.4584999999999999</v>
      </c>
      <c r="M55" t="s">
        <v>451</v>
      </c>
      <c r="N55">
        <v>2.3484106705909859E-2</v>
      </c>
      <c r="O55">
        <v>5.7202953086730318E-2</v>
      </c>
      <c r="P55">
        <v>-3.4559911816461578E-2</v>
      </c>
      <c r="Q55" t="s">
        <v>622</v>
      </c>
      <c r="S55" t="s">
        <v>35</v>
      </c>
      <c r="AX55" t="s">
        <v>678</v>
      </c>
      <c r="AY55">
        <v>14101577328</v>
      </c>
      <c r="AZ55">
        <v>11013797131</v>
      </c>
    </row>
    <row r="56" spans="1:52" x14ac:dyDescent="0.2">
      <c r="A56" t="s">
        <v>154</v>
      </c>
      <c r="B56">
        <v>20583192</v>
      </c>
      <c r="C56">
        <v>203070</v>
      </c>
      <c r="D56">
        <v>289919</v>
      </c>
      <c r="E56">
        <v>2179522310</v>
      </c>
      <c r="F56">
        <v>106.7826</v>
      </c>
      <c r="G56">
        <v>1.0007999999999999</v>
      </c>
      <c r="H56">
        <v>10669.364100000001</v>
      </c>
      <c r="I56">
        <v>1.4400999999999999</v>
      </c>
      <c r="M56" t="s">
        <v>452</v>
      </c>
      <c r="N56">
        <v>-6.3866509946204119E-3</v>
      </c>
      <c r="O56">
        <v>3.7670396884290379E-2</v>
      </c>
      <c r="P56">
        <v>-4.3802221766811311E-2</v>
      </c>
      <c r="Q56" t="s">
        <v>622</v>
      </c>
      <c r="S56" t="s">
        <v>36</v>
      </c>
      <c r="AX56" t="s">
        <v>679</v>
      </c>
      <c r="AY56">
        <v>13919562346</v>
      </c>
      <c r="AZ56">
        <v>10638465836</v>
      </c>
    </row>
    <row r="57" spans="1:52" x14ac:dyDescent="0.2">
      <c r="A57" t="s">
        <v>155</v>
      </c>
      <c r="B57">
        <v>20781869</v>
      </c>
      <c r="C57">
        <v>201690</v>
      </c>
      <c r="D57">
        <v>284704</v>
      </c>
      <c r="E57">
        <v>2221508645</v>
      </c>
      <c r="F57">
        <v>107.0685</v>
      </c>
      <c r="G57">
        <v>0.98929999999999996</v>
      </c>
      <c r="H57">
        <v>10822.660099999999</v>
      </c>
      <c r="I57">
        <v>1.4198</v>
      </c>
      <c r="M57" t="s">
        <v>453</v>
      </c>
      <c r="N57">
        <v>1.1857131657326677E-3</v>
      </c>
      <c r="O57">
        <v>1.1006027177707574E-2</v>
      </c>
      <c r="P57">
        <v>-9.6322649703366892E-3</v>
      </c>
      <c r="Q57" t="s">
        <v>622</v>
      </c>
      <c r="S57" t="str">
        <f>IF(PIP="","","PIP Pure Premium")</f>
        <v>PIP Pure Premium</v>
      </c>
      <c r="AX57" t="s">
        <v>680</v>
      </c>
      <c r="AY57">
        <v>13972498738</v>
      </c>
      <c r="AZ57">
        <v>10853499292</v>
      </c>
    </row>
    <row r="58" spans="1:52" x14ac:dyDescent="0.2">
      <c r="A58" t="s">
        <v>156</v>
      </c>
      <c r="B58">
        <v>20844154</v>
      </c>
      <c r="C58">
        <v>195873</v>
      </c>
      <c r="D58">
        <v>281516</v>
      </c>
      <c r="E58">
        <v>2218576164</v>
      </c>
      <c r="F58">
        <v>107.44799999999999</v>
      </c>
      <c r="G58">
        <v>0.97760000000000002</v>
      </c>
      <c r="H58">
        <v>10991.5401</v>
      </c>
      <c r="I58">
        <v>1.4053</v>
      </c>
      <c r="M58" t="s">
        <v>454</v>
      </c>
      <c r="N58">
        <v>3.069780671924871E-4</v>
      </c>
      <c r="O58">
        <v>-5.3820317028434927E-2</v>
      </c>
      <c r="P58">
        <v>5.7153843332008902E-2</v>
      </c>
      <c r="Q58">
        <v>-0.15137258679050736</v>
      </c>
      <c r="S58" s="38" t="str">
        <f>IF(PIP="","","PIP Paid Claim Frequency")</f>
        <v>PIP Paid Claim Frequency</v>
      </c>
      <c r="AX58" t="s">
        <v>681</v>
      </c>
      <c r="AY58">
        <v>13936886208</v>
      </c>
      <c r="AZ58">
        <v>10992435458</v>
      </c>
    </row>
    <row r="59" spans="1:52" x14ac:dyDescent="0.2">
      <c r="A59" t="s">
        <v>157</v>
      </c>
      <c r="B59">
        <v>20795954</v>
      </c>
      <c r="C59">
        <v>200168</v>
      </c>
      <c r="D59">
        <v>293556</v>
      </c>
      <c r="E59">
        <v>2323750413</v>
      </c>
      <c r="F59">
        <v>107.74460000000001</v>
      </c>
      <c r="G59">
        <v>0.96479999999999999</v>
      </c>
      <c r="H59">
        <v>11168.0149</v>
      </c>
      <c r="I59">
        <v>1.3851</v>
      </c>
      <c r="M59" t="s">
        <v>455</v>
      </c>
      <c r="N59">
        <v>-8.5380885495854875E-3</v>
      </c>
      <c r="O59">
        <v>-4.4367085224991554E-2</v>
      </c>
      <c r="P59">
        <v>3.7493545035987452E-2</v>
      </c>
      <c r="Q59">
        <v>-0.11016769845440322</v>
      </c>
      <c r="S59" t="str">
        <f>IF(PIP="","","PIP Average Claim Cost")</f>
        <v>PIP Average Claim Cost</v>
      </c>
      <c r="AX59" t="s">
        <v>682</v>
      </c>
      <c r="AY59">
        <v>13810384264</v>
      </c>
      <c r="AZ59">
        <v>11373363591</v>
      </c>
    </row>
    <row r="60" spans="1:52" x14ac:dyDescent="0.2">
      <c r="A60" t="s">
        <v>158</v>
      </c>
      <c r="B60">
        <v>20801062</v>
      </c>
      <c r="C60">
        <v>195116</v>
      </c>
      <c r="D60">
        <v>274288</v>
      </c>
      <c r="E60">
        <v>2222803229</v>
      </c>
      <c r="F60">
        <v>107.98260000000001</v>
      </c>
      <c r="G60">
        <v>0.95269999999999999</v>
      </c>
      <c r="H60">
        <v>11334.643899999999</v>
      </c>
      <c r="I60">
        <v>1.3627</v>
      </c>
      <c r="M60" t="s">
        <v>456</v>
      </c>
      <c r="N60">
        <v>8.1923945833408673E-3</v>
      </c>
      <c r="O60">
        <v>-3.5797628728301056E-2</v>
      </c>
      <c r="P60">
        <v>4.5624629523161264E-2</v>
      </c>
      <c r="Q60">
        <v>-8.6095042679892875E-2</v>
      </c>
      <c r="S60" t="str">
        <f>+IF(PIP="","","PIP Arising Claim Frequency")</f>
        <v>PIP Arising Claim Frequency</v>
      </c>
      <c r="AX60" t="s">
        <v>683</v>
      </c>
      <c r="AY60">
        <v>13727033695</v>
      </c>
      <c r="AZ60">
        <v>10651443723</v>
      </c>
    </row>
    <row r="61" spans="1:52" x14ac:dyDescent="0.2">
      <c r="A61" t="s">
        <v>159</v>
      </c>
      <c r="B61">
        <v>20967963</v>
      </c>
      <c r="C61">
        <v>197619</v>
      </c>
      <c r="D61">
        <v>264781</v>
      </c>
      <c r="E61">
        <v>2289462668</v>
      </c>
      <c r="F61">
        <v>108.5564</v>
      </c>
      <c r="G61">
        <v>0.94569999999999999</v>
      </c>
      <c r="H61">
        <v>11479.295099999999</v>
      </c>
      <c r="I61">
        <v>1.3358000000000001</v>
      </c>
      <c r="M61" t="s">
        <v>457</v>
      </c>
      <c r="N61">
        <v>3.2618619577335917E-3</v>
      </c>
      <c r="O61">
        <v>-4.6930427878407288E-2</v>
      </c>
      <c r="P61">
        <v>5.2663052904633245E-2</v>
      </c>
      <c r="Q61">
        <v>-7.8435718591953862E-2</v>
      </c>
      <c r="AX61" t="s">
        <v>684</v>
      </c>
      <c r="AY61">
        <v>13792696986</v>
      </c>
      <c r="AZ61">
        <v>11129104644</v>
      </c>
    </row>
    <row r="62" spans="1:52" x14ac:dyDescent="0.2">
      <c r="A62" t="s">
        <v>160</v>
      </c>
      <c r="B62">
        <v>21037631</v>
      </c>
      <c r="C62">
        <v>190521</v>
      </c>
      <c r="D62">
        <v>255281</v>
      </c>
      <c r="E62">
        <v>2288642296</v>
      </c>
      <c r="F62">
        <v>109.14319999999999</v>
      </c>
      <c r="G62">
        <v>0.93710000000000004</v>
      </c>
      <c r="H62">
        <v>11647.1523</v>
      </c>
      <c r="I62">
        <v>1.3012999999999999</v>
      </c>
      <c r="M62" t="s">
        <v>458</v>
      </c>
      <c r="N62">
        <v>-3.9945348481545961E-2</v>
      </c>
      <c r="O62">
        <v>-4.0250023990354711E-2</v>
      </c>
      <c r="P62">
        <v>3.0188549533094466E-4</v>
      </c>
      <c r="Q62">
        <v>-8.89870915856531E-2</v>
      </c>
      <c r="S62" t="s">
        <v>39</v>
      </c>
      <c r="AX62" t="s">
        <v>685</v>
      </c>
      <c r="AY62">
        <v>13854502664</v>
      </c>
      <c r="AZ62">
        <v>10925296900</v>
      </c>
    </row>
    <row r="63" spans="1:52" x14ac:dyDescent="0.2">
      <c r="A63" t="s">
        <v>161</v>
      </c>
      <c r="B63">
        <v>20955362</v>
      </c>
      <c r="C63">
        <v>192753</v>
      </c>
      <c r="D63">
        <v>272171</v>
      </c>
      <c r="E63">
        <v>2391632026</v>
      </c>
      <c r="F63">
        <v>109.74590000000001</v>
      </c>
      <c r="G63">
        <v>0.9264</v>
      </c>
      <c r="H63">
        <v>11845.919599999999</v>
      </c>
      <c r="I63">
        <v>1.2733000000000001</v>
      </c>
      <c r="M63" t="s">
        <v>459</v>
      </c>
      <c r="N63">
        <v>-2.4856444631561336E-3</v>
      </c>
      <c r="O63">
        <v>-4.2964794181750476E-2</v>
      </c>
      <c r="P63">
        <v>4.2292544615079919E-2</v>
      </c>
      <c r="Q63">
        <v>-6.2356573938195159E-2</v>
      </c>
      <c r="S63" t="s">
        <v>84</v>
      </c>
      <c r="AX63" t="s">
        <v>686</v>
      </c>
      <c r="AY63">
        <v>13826116479</v>
      </c>
      <c r="AZ63">
        <v>11469855724</v>
      </c>
    </row>
    <row r="64" spans="1:52" x14ac:dyDescent="0.2">
      <c r="A64" t="s">
        <v>162</v>
      </c>
      <c r="B64">
        <v>20867812</v>
      </c>
      <c r="C64">
        <v>188775</v>
      </c>
      <c r="D64">
        <v>262605</v>
      </c>
      <c r="E64">
        <v>2207750931</v>
      </c>
      <c r="F64">
        <v>109.479</v>
      </c>
      <c r="G64">
        <v>0.91810000000000003</v>
      </c>
      <c r="H64">
        <v>11923.956700000001</v>
      </c>
      <c r="I64">
        <v>1.2583</v>
      </c>
      <c r="M64" t="s">
        <v>460</v>
      </c>
      <c r="N64">
        <v>5.8012996894869495E-3</v>
      </c>
      <c r="O64">
        <v>-4.8285439729701563E-2</v>
      </c>
      <c r="P64">
        <v>5.6837554914223487E-2</v>
      </c>
      <c r="Q64">
        <v>-5.5992749785674922E-2</v>
      </c>
      <c r="S64" t="s">
        <v>85</v>
      </c>
      <c r="AX64" t="s">
        <v>687</v>
      </c>
      <c r="AY64">
        <v>13749556444</v>
      </c>
      <c r="AZ64">
        <v>10981635422</v>
      </c>
    </row>
    <row r="65" spans="1:52" x14ac:dyDescent="0.2">
      <c r="A65" t="s">
        <v>163</v>
      </c>
      <c r="B65">
        <v>441671</v>
      </c>
      <c r="C65">
        <v>22968</v>
      </c>
      <c r="D65">
        <v>0</v>
      </c>
      <c r="E65">
        <v>80760007</v>
      </c>
      <c r="F65">
        <v>182.8511</v>
      </c>
      <c r="G65">
        <v>5.2003000000000004</v>
      </c>
      <c r="H65">
        <v>3516.1968000000002</v>
      </c>
      <c r="I65">
        <v>0</v>
      </c>
      <c r="M65" t="s">
        <v>461</v>
      </c>
      <c r="N65">
        <v>6.7128811490424489E-4</v>
      </c>
      <c r="O65">
        <v>-5.149652958735218E-2</v>
      </c>
      <c r="P65">
        <v>5.5008112998844005E-2</v>
      </c>
      <c r="Q65">
        <v>-6.4567606455299242E-2</v>
      </c>
      <c r="AX65" t="s">
        <v>163</v>
      </c>
      <c r="AY65">
        <v>136193035</v>
      </c>
      <c r="AZ65">
        <v>90259502</v>
      </c>
    </row>
    <row r="66" spans="1:52" x14ac:dyDescent="0.2">
      <c r="A66" t="s">
        <v>164</v>
      </c>
      <c r="B66">
        <v>445356</v>
      </c>
      <c r="C66">
        <v>22602</v>
      </c>
      <c r="D66">
        <v>0</v>
      </c>
      <c r="E66">
        <v>72357692</v>
      </c>
      <c r="F66">
        <v>172.619</v>
      </c>
      <c r="G66">
        <v>5.1374000000000004</v>
      </c>
      <c r="H66">
        <v>3360.0547999999999</v>
      </c>
      <c r="I66">
        <v>0</v>
      </c>
      <c r="M66" t="s">
        <v>462</v>
      </c>
      <c r="N66">
        <v>1.2434919205492001E-2</v>
      </c>
      <c r="O66">
        <v>-3.9341651210264339E-2</v>
      </c>
      <c r="P66">
        <v>5.3769960853877308E-2</v>
      </c>
      <c r="Q66">
        <v>-7.7274266383386414E-2</v>
      </c>
      <c r="AX66" t="s">
        <v>164</v>
      </c>
      <c r="AY66">
        <v>136296510</v>
      </c>
      <c r="AZ66">
        <v>85926553</v>
      </c>
    </row>
    <row r="67" spans="1:52" x14ac:dyDescent="0.2">
      <c r="A67" t="s">
        <v>165</v>
      </c>
      <c r="B67">
        <v>448922</v>
      </c>
      <c r="C67">
        <v>22177</v>
      </c>
      <c r="D67">
        <v>0</v>
      </c>
      <c r="E67">
        <v>72960242</v>
      </c>
      <c r="F67">
        <v>169.22649999999999</v>
      </c>
      <c r="G67">
        <v>5.0711000000000004</v>
      </c>
      <c r="H67">
        <v>3337.0915</v>
      </c>
      <c r="I67">
        <v>0</v>
      </c>
      <c r="M67" t="s">
        <v>463</v>
      </c>
      <c r="N67">
        <v>1.4660822030646115E-2</v>
      </c>
      <c r="O67">
        <v>-4.1339261594395382E-2</v>
      </c>
      <c r="P67">
        <v>5.8370750291405704E-2</v>
      </c>
      <c r="Q67">
        <v>-7.0958467056634666E-2</v>
      </c>
      <c r="AX67" t="s">
        <v>165</v>
      </c>
      <c r="AY67">
        <v>136356907</v>
      </c>
      <c r="AZ67">
        <v>89985183</v>
      </c>
    </row>
    <row r="68" spans="1:52" x14ac:dyDescent="0.2">
      <c r="A68" t="s">
        <v>166</v>
      </c>
      <c r="B68">
        <v>453762</v>
      </c>
      <c r="C68">
        <v>22224</v>
      </c>
      <c r="D68">
        <v>0</v>
      </c>
      <c r="E68">
        <v>75821931</v>
      </c>
      <c r="F68">
        <v>168.68639999999999</v>
      </c>
      <c r="G68">
        <v>5.0270999999999999</v>
      </c>
      <c r="H68">
        <v>3355.5241999999998</v>
      </c>
      <c r="I68">
        <v>0</v>
      </c>
      <c r="M68" t="s">
        <v>464</v>
      </c>
      <c r="N68">
        <v>1.48872270704139E-2</v>
      </c>
      <c r="O68">
        <v>-4.1179865539671789E-2</v>
      </c>
      <c r="P68">
        <v>5.8466937529378704E-2</v>
      </c>
      <c r="Q68">
        <v>-6.0387760475910657E-2</v>
      </c>
      <c r="AX68" t="s">
        <v>166</v>
      </c>
      <c r="AY68">
        <v>137335021</v>
      </c>
      <c r="AZ68">
        <v>96511121</v>
      </c>
    </row>
    <row r="69" spans="1:52" x14ac:dyDescent="0.2">
      <c r="A69" t="s">
        <v>167</v>
      </c>
      <c r="B69">
        <v>457748</v>
      </c>
      <c r="C69">
        <v>23860</v>
      </c>
      <c r="D69">
        <v>0</v>
      </c>
      <c r="E69">
        <v>84257805</v>
      </c>
      <c r="F69">
        <v>169.1216</v>
      </c>
      <c r="G69">
        <v>5.0317999999999996</v>
      </c>
      <c r="H69">
        <v>3361.0783999999999</v>
      </c>
      <c r="I69">
        <v>0</v>
      </c>
      <c r="M69" t="s">
        <v>465</v>
      </c>
      <c r="N69">
        <v>8.7656677868723776E-3</v>
      </c>
      <c r="O69">
        <v>-4.244085043940804E-2</v>
      </c>
      <c r="P69">
        <v>5.3470659839134571E-2</v>
      </c>
      <c r="Q69">
        <v>-5.8325539407240834E-2</v>
      </c>
      <c r="AX69" t="s">
        <v>167</v>
      </c>
      <c r="AY69">
        <v>138098488</v>
      </c>
      <c r="AZ69">
        <v>99309109</v>
      </c>
    </row>
    <row r="70" spans="1:52" x14ac:dyDescent="0.2">
      <c r="A70" t="s">
        <v>168</v>
      </c>
      <c r="B70">
        <v>463463</v>
      </c>
      <c r="C70">
        <v>23371</v>
      </c>
      <c r="D70">
        <v>0</v>
      </c>
      <c r="E70">
        <v>78018720</v>
      </c>
      <c r="F70">
        <v>170.54640000000001</v>
      </c>
      <c r="G70">
        <v>5.024</v>
      </c>
      <c r="H70">
        <v>3394.6514000000002</v>
      </c>
      <c r="I70">
        <v>0</v>
      </c>
      <c r="M70" t="s">
        <v>466</v>
      </c>
      <c r="N70">
        <v>-0.17387823847714334</v>
      </c>
      <c r="O70">
        <v>-0.12730746104710033</v>
      </c>
      <c r="P70">
        <v>-5.3361885329128556E-2</v>
      </c>
      <c r="Q70" t="s">
        <v>622</v>
      </c>
      <c r="AX70" t="s">
        <v>168</v>
      </c>
      <c r="AY70">
        <v>140161291</v>
      </c>
      <c r="AZ70">
        <v>94955340</v>
      </c>
    </row>
    <row r="71" spans="1:52" x14ac:dyDescent="0.2">
      <c r="A71" t="s">
        <v>169</v>
      </c>
      <c r="B71">
        <v>470058</v>
      </c>
      <c r="C71">
        <v>23984</v>
      </c>
      <c r="D71">
        <v>0</v>
      </c>
      <c r="E71">
        <v>80896702</v>
      </c>
      <c r="F71">
        <v>172.89420000000001</v>
      </c>
      <c r="G71">
        <v>5.0644</v>
      </c>
      <c r="H71">
        <v>3413.9402</v>
      </c>
      <c r="I71">
        <v>0</v>
      </c>
      <c r="M71" t="s">
        <v>467</v>
      </c>
      <c r="N71">
        <v>-0.11605660571493637</v>
      </c>
      <c r="O71">
        <v>-7.6459836515861745E-2</v>
      </c>
      <c r="P71">
        <v>-4.2872751076293847E-2</v>
      </c>
      <c r="Q71" t="s">
        <v>622</v>
      </c>
      <c r="AX71" t="s">
        <v>169</v>
      </c>
      <c r="AY71">
        <v>142571560</v>
      </c>
      <c r="AZ71">
        <v>99832320</v>
      </c>
    </row>
    <row r="72" spans="1:52" x14ac:dyDescent="0.2">
      <c r="A72" t="s">
        <v>170</v>
      </c>
      <c r="B72">
        <v>476048</v>
      </c>
      <c r="C72">
        <v>23339</v>
      </c>
      <c r="D72">
        <v>0</v>
      </c>
      <c r="E72">
        <v>82463645</v>
      </c>
      <c r="F72">
        <v>174.38759999999999</v>
      </c>
      <c r="G72">
        <v>5.0636000000000001</v>
      </c>
      <c r="H72">
        <v>3443.9249</v>
      </c>
      <c r="I72">
        <v>0</v>
      </c>
      <c r="M72" t="s">
        <v>468</v>
      </c>
      <c r="N72">
        <v>-5.0711341473472227E-2</v>
      </c>
      <c r="O72">
        <v>-3.3103753187760154E-2</v>
      </c>
      <c r="P72">
        <v>-1.8212248236149864E-2</v>
      </c>
      <c r="Q72" t="s">
        <v>622</v>
      </c>
      <c r="AX72" t="s">
        <v>170</v>
      </c>
      <c r="AY72">
        <v>147201646</v>
      </c>
      <c r="AZ72">
        <v>104997259</v>
      </c>
    </row>
    <row r="73" spans="1:52" x14ac:dyDescent="0.2">
      <c r="A73" t="s">
        <v>171</v>
      </c>
      <c r="B73">
        <v>477857</v>
      </c>
      <c r="C73">
        <v>24421</v>
      </c>
      <c r="D73">
        <v>0</v>
      </c>
      <c r="E73">
        <v>87628701</v>
      </c>
      <c r="F73">
        <v>174.31559999999999</v>
      </c>
      <c r="G73">
        <v>5.0393999999999997</v>
      </c>
      <c r="H73">
        <v>3459.0524</v>
      </c>
      <c r="I73">
        <v>0</v>
      </c>
      <c r="M73" t="s">
        <v>469</v>
      </c>
      <c r="N73">
        <v>-2.5376946101390518E-2</v>
      </c>
      <c r="O73">
        <v>-2.0475827186634654E-2</v>
      </c>
      <c r="P73">
        <v>-5.0049589689324936E-3</v>
      </c>
      <c r="Q73" t="s">
        <v>622</v>
      </c>
      <c r="AX73" t="s">
        <v>171</v>
      </c>
      <c r="AY73">
        <v>144352879</v>
      </c>
      <c r="AZ73">
        <v>103605501</v>
      </c>
    </row>
    <row r="74" spans="1:52" x14ac:dyDescent="0.2">
      <c r="A74" t="s">
        <v>172</v>
      </c>
      <c r="B74">
        <v>482243</v>
      </c>
      <c r="C74">
        <v>23884</v>
      </c>
      <c r="D74">
        <v>0</v>
      </c>
      <c r="E74">
        <v>80520808</v>
      </c>
      <c r="F74">
        <v>173.91079999999999</v>
      </c>
      <c r="G74">
        <v>5.0167000000000002</v>
      </c>
      <c r="H74">
        <v>3466.6610000000001</v>
      </c>
      <c r="I74">
        <v>0</v>
      </c>
      <c r="M74" t="s">
        <v>470</v>
      </c>
      <c r="N74">
        <v>-9.422325953185906E-2</v>
      </c>
      <c r="O74">
        <v>-8.1591754038679354E-2</v>
      </c>
      <c r="P74">
        <v>-1.3756472231799322E-2</v>
      </c>
      <c r="Q74" t="s">
        <v>622</v>
      </c>
      <c r="AX74" t="s">
        <v>172</v>
      </c>
      <c r="AY74">
        <v>146151750</v>
      </c>
      <c r="AZ74">
        <v>94239014</v>
      </c>
    </row>
    <row r="75" spans="1:52" x14ac:dyDescent="0.2">
      <c r="A75" t="s">
        <v>173</v>
      </c>
      <c r="B75">
        <v>484635</v>
      </c>
      <c r="C75">
        <v>23999</v>
      </c>
      <c r="D75">
        <v>0</v>
      </c>
      <c r="E75">
        <v>79811586</v>
      </c>
      <c r="F75">
        <v>172.02610000000001</v>
      </c>
      <c r="G75">
        <v>4.9794</v>
      </c>
      <c r="H75">
        <v>3454.7718</v>
      </c>
      <c r="I75">
        <v>0</v>
      </c>
      <c r="M75" t="s">
        <v>471</v>
      </c>
      <c r="N75">
        <v>-3.8227218410050279E-2</v>
      </c>
      <c r="O75">
        <v>-4.2245524437560134E-2</v>
      </c>
      <c r="P75">
        <v>4.1972660609190804E-3</v>
      </c>
      <c r="Q75" t="s">
        <v>622</v>
      </c>
      <c r="AX75" t="s">
        <v>173</v>
      </c>
      <c r="AY75">
        <v>147006474</v>
      </c>
      <c r="AZ75">
        <v>100116700</v>
      </c>
    </row>
    <row r="76" spans="1:52" x14ac:dyDescent="0.2">
      <c r="A76" t="s">
        <v>174</v>
      </c>
      <c r="B76">
        <v>487856</v>
      </c>
      <c r="C76">
        <v>24185</v>
      </c>
      <c r="D76">
        <v>0</v>
      </c>
      <c r="E76">
        <v>90129449</v>
      </c>
      <c r="F76">
        <v>174.94159999999999</v>
      </c>
      <c r="G76">
        <v>4.9927000000000001</v>
      </c>
      <c r="H76">
        <v>3503.9283999999998</v>
      </c>
      <c r="I76">
        <v>0</v>
      </c>
      <c r="M76" t="s">
        <v>472</v>
      </c>
      <c r="N76">
        <v>-1.6518656496593009E-2</v>
      </c>
      <c r="O76">
        <v>-2.8991269344430193E-2</v>
      </c>
      <c r="P76">
        <v>1.28467608148497E-2</v>
      </c>
      <c r="Q76" t="s">
        <v>622</v>
      </c>
      <c r="AX76" t="s">
        <v>174</v>
      </c>
      <c r="AY76">
        <v>147117521</v>
      </c>
      <c r="AZ76">
        <v>111313830</v>
      </c>
    </row>
    <row r="77" spans="1:52" x14ac:dyDescent="0.2">
      <c r="A77" t="s">
        <v>175</v>
      </c>
      <c r="B77">
        <v>488205</v>
      </c>
      <c r="C77">
        <v>26100</v>
      </c>
      <c r="D77">
        <v>0</v>
      </c>
      <c r="E77">
        <v>96573179</v>
      </c>
      <c r="F77">
        <v>178.61340000000001</v>
      </c>
      <c r="G77">
        <v>5.0526</v>
      </c>
      <c r="H77">
        <v>3535.1134999999999</v>
      </c>
      <c r="I77">
        <v>0</v>
      </c>
      <c r="M77" t="s">
        <v>473</v>
      </c>
      <c r="N77">
        <v>-1.8731956274231631E-3</v>
      </c>
      <c r="O77">
        <v>-2.4799561684615168E-2</v>
      </c>
      <c r="P77">
        <v>2.3510440814467293E-2</v>
      </c>
      <c r="Q77" t="s">
        <v>622</v>
      </c>
      <c r="AX77" t="s">
        <v>175</v>
      </c>
      <c r="AY77">
        <v>146302061</v>
      </c>
      <c r="AZ77">
        <v>110441667</v>
      </c>
    </row>
    <row r="78" spans="1:52" x14ac:dyDescent="0.2">
      <c r="A78" t="s">
        <v>176</v>
      </c>
      <c r="B78">
        <v>491100</v>
      </c>
      <c r="C78">
        <v>25186</v>
      </c>
      <c r="D78">
        <v>0</v>
      </c>
      <c r="E78">
        <v>85730768</v>
      </c>
      <c r="F78">
        <v>180.47219999999999</v>
      </c>
      <c r="G78">
        <v>5.0963000000000003</v>
      </c>
      <c r="H78">
        <v>3541.2183</v>
      </c>
      <c r="I78">
        <v>0</v>
      </c>
      <c r="M78" t="s">
        <v>474</v>
      </c>
      <c r="N78">
        <v>-4.6597025479816812E-2</v>
      </c>
      <c r="O78">
        <v>-3.6803931026215708E-2</v>
      </c>
      <c r="P78">
        <v>-1.0169369553132634E-2</v>
      </c>
      <c r="Q78" t="s">
        <v>622</v>
      </c>
      <c r="AX78" t="s">
        <v>176</v>
      </c>
      <c r="AY78">
        <v>145333163</v>
      </c>
      <c r="AZ78">
        <v>102301696</v>
      </c>
    </row>
    <row r="79" spans="1:52" x14ac:dyDescent="0.2">
      <c r="A79" t="s">
        <v>177</v>
      </c>
      <c r="B79">
        <v>491325</v>
      </c>
      <c r="C79">
        <v>24827</v>
      </c>
      <c r="D79">
        <v>0</v>
      </c>
      <c r="E79">
        <v>84209030</v>
      </c>
      <c r="F79">
        <v>182.1011</v>
      </c>
      <c r="G79">
        <v>5.1212</v>
      </c>
      <c r="H79">
        <v>3555.8279000000002</v>
      </c>
      <c r="I79">
        <v>0</v>
      </c>
      <c r="M79" t="s">
        <v>475</v>
      </c>
      <c r="N79">
        <v>-1.3673195815595784E-2</v>
      </c>
      <c r="O79">
        <v>-1.4002775173561632E-2</v>
      </c>
      <c r="P79">
        <v>3.4262215257574447E-4</v>
      </c>
      <c r="Q79" t="s">
        <v>622</v>
      </c>
      <c r="AX79" t="s">
        <v>177</v>
      </c>
      <c r="AY79">
        <v>143968082</v>
      </c>
      <c r="AZ79">
        <v>99951012</v>
      </c>
    </row>
    <row r="80" spans="1:52" x14ac:dyDescent="0.2">
      <c r="A80" t="s">
        <v>178</v>
      </c>
      <c r="B80">
        <v>492855</v>
      </c>
      <c r="C80">
        <v>24522</v>
      </c>
      <c r="D80">
        <v>0</v>
      </c>
      <c r="E80">
        <v>85047879</v>
      </c>
      <c r="F80">
        <v>179.04939999999999</v>
      </c>
      <c r="G80">
        <v>5.1253000000000002</v>
      </c>
      <c r="H80">
        <v>3493.4252999999999</v>
      </c>
      <c r="I80">
        <v>0</v>
      </c>
      <c r="M80" t="s">
        <v>476</v>
      </c>
      <c r="N80">
        <v>2.3751316649704979E-3</v>
      </c>
      <c r="O80">
        <v>-1.3357736130340525E-3</v>
      </c>
      <c r="P80">
        <v>3.7190760188934302E-3</v>
      </c>
      <c r="Q80" t="s">
        <v>622</v>
      </c>
      <c r="AX80" t="s">
        <v>178</v>
      </c>
      <c r="AY80">
        <v>143215796</v>
      </c>
      <c r="AZ80">
        <v>103364477</v>
      </c>
    </row>
    <row r="81" spans="1:52" x14ac:dyDescent="0.2">
      <c r="A81" t="s">
        <v>179</v>
      </c>
      <c r="B81">
        <v>491961</v>
      </c>
      <c r="C81">
        <v>24543</v>
      </c>
      <c r="D81">
        <v>0</v>
      </c>
      <c r="E81">
        <v>89469292</v>
      </c>
      <c r="F81">
        <v>175.09649999999999</v>
      </c>
      <c r="G81">
        <v>5.0364000000000004</v>
      </c>
      <c r="H81">
        <v>3476.6242000000002</v>
      </c>
      <c r="I81">
        <v>0</v>
      </c>
      <c r="M81" t="s">
        <v>477</v>
      </c>
      <c r="N81">
        <v>3.5674813841586328E-3</v>
      </c>
      <c r="O81">
        <v>-8.1716992820010104E-3</v>
      </c>
      <c r="P81">
        <v>1.1836624165894261E-2</v>
      </c>
      <c r="Q81" t="s">
        <v>622</v>
      </c>
      <c r="AX81" t="s">
        <v>179</v>
      </c>
      <c r="AY81">
        <v>142717005</v>
      </c>
      <c r="AZ81">
        <v>104084797</v>
      </c>
    </row>
    <row r="82" spans="1:52" x14ac:dyDescent="0.2">
      <c r="A82" t="s">
        <v>180</v>
      </c>
      <c r="B82">
        <v>491337</v>
      </c>
      <c r="C82">
        <v>23282</v>
      </c>
      <c r="D82">
        <v>0</v>
      </c>
      <c r="E82">
        <v>75640020</v>
      </c>
      <c r="F82">
        <v>169.94659999999999</v>
      </c>
      <c r="G82">
        <v>4.9390000000000001</v>
      </c>
      <c r="H82">
        <v>3440.9020999999998</v>
      </c>
      <c r="I82">
        <v>0</v>
      </c>
      <c r="M82" t="s">
        <v>478</v>
      </c>
      <c r="N82">
        <v>-4.8359808872240784E-2</v>
      </c>
      <c r="O82">
        <v>-3.6247135927447438E-2</v>
      </c>
      <c r="P82">
        <v>-1.2568523433584722E-2</v>
      </c>
      <c r="Q82" t="s">
        <v>622</v>
      </c>
      <c r="AX82" t="s">
        <v>180</v>
      </c>
      <c r="AY82">
        <v>142586467</v>
      </c>
      <c r="AZ82">
        <v>82410267</v>
      </c>
    </row>
    <row r="83" spans="1:52" x14ac:dyDescent="0.2">
      <c r="A83" t="s">
        <v>181</v>
      </c>
      <c r="B83">
        <v>487840</v>
      </c>
      <c r="C83">
        <v>21699</v>
      </c>
      <c r="D83">
        <v>0</v>
      </c>
      <c r="E83">
        <v>66630582</v>
      </c>
      <c r="F83">
        <v>161.2978</v>
      </c>
      <c r="G83">
        <v>4.7885</v>
      </c>
      <c r="H83">
        <v>3368.4342999999999</v>
      </c>
      <c r="I83">
        <v>0</v>
      </c>
      <c r="M83" t="s">
        <v>479</v>
      </c>
      <c r="N83">
        <v>-2.6080479409639645E-2</v>
      </c>
      <c r="O83">
        <v>-3.0885716902707694E-2</v>
      </c>
      <c r="P83">
        <v>4.9592254839605499E-3</v>
      </c>
      <c r="Q83" t="s">
        <v>622</v>
      </c>
      <c r="AX83" t="s">
        <v>181</v>
      </c>
      <c r="AY83">
        <v>140819499</v>
      </c>
      <c r="AZ83">
        <v>84673102</v>
      </c>
    </row>
    <row r="84" spans="1:52" x14ac:dyDescent="0.2">
      <c r="A84" t="s">
        <v>182</v>
      </c>
      <c r="B84">
        <v>484597</v>
      </c>
      <c r="C84">
        <v>20772</v>
      </c>
      <c r="D84">
        <v>0</v>
      </c>
      <c r="E84">
        <v>71412447</v>
      </c>
      <c r="F84">
        <v>155.0069</v>
      </c>
      <c r="G84">
        <v>4.617</v>
      </c>
      <c r="H84">
        <v>3357.3175000000001</v>
      </c>
      <c r="I84">
        <v>0</v>
      </c>
      <c r="M84" t="s">
        <v>480</v>
      </c>
      <c r="N84">
        <v>7.3863049012612425E-3</v>
      </c>
      <c r="O84">
        <v>-1.2013916959852988E-2</v>
      </c>
      <c r="P84">
        <v>1.9636531818730596E-2</v>
      </c>
      <c r="Q84" t="s">
        <v>622</v>
      </c>
      <c r="AX84" t="s">
        <v>182</v>
      </c>
      <c r="AY84">
        <v>136967774</v>
      </c>
      <c r="AZ84">
        <v>84054171</v>
      </c>
    </row>
    <row r="85" spans="1:52" x14ac:dyDescent="0.2">
      <c r="A85" t="s">
        <v>183</v>
      </c>
      <c r="B85">
        <v>480386</v>
      </c>
      <c r="C85">
        <v>21017</v>
      </c>
      <c r="D85">
        <v>0</v>
      </c>
      <c r="E85">
        <v>71861450</v>
      </c>
      <c r="F85">
        <v>146.87289999999999</v>
      </c>
      <c r="G85">
        <v>4.4630999999999998</v>
      </c>
      <c r="H85">
        <v>3290.8204999999998</v>
      </c>
      <c r="I85">
        <v>0</v>
      </c>
      <c r="M85" t="s">
        <v>481</v>
      </c>
      <c r="N85">
        <v>2.2959059877212251E-3</v>
      </c>
      <c r="O85">
        <v>-2.3718633378270515E-2</v>
      </c>
      <c r="P85">
        <v>2.6646733775582465E-2</v>
      </c>
      <c r="Q85" t="s">
        <v>622</v>
      </c>
      <c r="AX85" t="s">
        <v>183</v>
      </c>
      <c r="AY85">
        <v>133078387</v>
      </c>
      <c r="AZ85">
        <v>80943787</v>
      </c>
    </row>
    <row r="86" spans="1:52" x14ac:dyDescent="0.2">
      <c r="A86" t="s">
        <v>184</v>
      </c>
      <c r="B86">
        <v>2471591</v>
      </c>
      <c r="C86">
        <v>184079</v>
      </c>
      <c r="D86">
        <v>0</v>
      </c>
      <c r="E86">
        <v>594378921</v>
      </c>
      <c r="F86">
        <v>240.48429999999999</v>
      </c>
      <c r="G86">
        <v>7.4478</v>
      </c>
      <c r="H86">
        <v>3228.9339</v>
      </c>
      <c r="I86">
        <v>0</v>
      </c>
      <c r="M86" t="s">
        <v>482</v>
      </c>
      <c r="N86">
        <v>-0.11273704523160566</v>
      </c>
      <c r="O86">
        <v>-0.10192720186605608</v>
      </c>
      <c r="P86">
        <v>-1.2063113192766872E-2</v>
      </c>
      <c r="Q86" t="s">
        <v>622</v>
      </c>
      <c r="AX86" t="s">
        <v>184</v>
      </c>
      <c r="AY86">
        <v>858986088</v>
      </c>
      <c r="AZ86">
        <v>590263700</v>
      </c>
    </row>
    <row r="87" spans="1:52" x14ac:dyDescent="0.2">
      <c r="A87" t="s">
        <v>185</v>
      </c>
      <c r="B87">
        <v>2479377</v>
      </c>
      <c r="C87">
        <v>172288</v>
      </c>
      <c r="D87">
        <v>0</v>
      </c>
      <c r="E87">
        <v>511438742</v>
      </c>
      <c r="F87">
        <v>223.35380000000001</v>
      </c>
      <c r="G87">
        <v>7.1978999999999997</v>
      </c>
      <c r="H87">
        <v>3103.0304999999998</v>
      </c>
      <c r="I87">
        <v>0</v>
      </c>
      <c r="M87" t="s">
        <v>483</v>
      </c>
      <c r="N87">
        <v>1.6306556803443728E-2</v>
      </c>
      <c r="O87">
        <v>-5.3192469788795549E-2</v>
      </c>
      <c r="P87">
        <v>7.3401544223395065E-2</v>
      </c>
      <c r="Q87" t="s">
        <v>622</v>
      </c>
      <c r="AX87" t="s">
        <v>185</v>
      </c>
      <c r="AY87">
        <v>881593014</v>
      </c>
      <c r="AZ87">
        <v>531156156</v>
      </c>
    </row>
    <row r="88" spans="1:52" x14ac:dyDescent="0.2">
      <c r="A88" t="s">
        <v>186</v>
      </c>
      <c r="B88">
        <v>2490374</v>
      </c>
      <c r="C88">
        <v>170178</v>
      </c>
      <c r="D88">
        <v>0</v>
      </c>
      <c r="E88">
        <v>507248970</v>
      </c>
      <c r="F88">
        <v>216.77090000000001</v>
      </c>
      <c r="G88">
        <v>7.0758999999999999</v>
      </c>
      <c r="H88">
        <v>3063.4924999999998</v>
      </c>
      <c r="I88">
        <v>0</v>
      </c>
      <c r="M88" t="s">
        <v>484</v>
      </c>
      <c r="N88">
        <v>1.620296385841602E-3</v>
      </c>
      <c r="O88">
        <v>-5.538891582299621E-2</v>
      </c>
      <c r="P88">
        <v>6.0349608732801041E-2</v>
      </c>
      <c r="Q88" t="s">
        <v>622</v>
      </c>
      <c r="AX88" t="s">
        <v>186</v>
      </c>
      <c r="AY88">
        <v>899476255</v>
      </c>
      <c r="AZ88">
        <v>552745928</v>
      </c>
    </row>
    <row r="89" spans="1:52" x14ac:dyDescent="0.2">
      <c r="A89" t="s">
        <v>187</v>
      </c>
      <c r="B89">
        <v>2499416</v>
      </c>
      <c r="C89">
        <v>170823</v>
      </c>
      <c r="D89">
        <v>0</v>
      </c>
      <c r="E89">
        <v>538070783</v>
      </c>
      <c r="F89">
        <v>216.39570000000001</v>
      </c>
      <c r="G89">
        <v>7.0152000000000001</v>
      </c>
      <c r="H89">
        <v>3084.6516999999999</v>
      </c>
      <c r="I89">
        <v>0</v>
      </c>
      <c r="M89" t="s">
        <v>485</v>
      </c>
      <c r="N89">
        <v>6.495168306172916E-3</v>
      </c>
      <c r="O89">
        <v>-5.7773841824722449E-2</v>
      </c>
      <c r="P89">
        <v>6.820908957263927E-2</v>
      </c>
      <c r="Q89" t="s">
        <v>622</v>
      </c>
      <c r="AX89" t="s">
        <v>187</v>
      </c>
      <c r="AY89">
        <v>908514377</v>
      </c>
      <c r="AZ89">
        <v>599383834</v>
      </c>
    </row>
    <row r="90" spans="1:52" x14ac:dyDescent="0.2">
      <c r="A90" t="s">
        <v>188</v>
      </c>
      <c r="B90">
        <v>2501833</v>
      </c>
      <c r="C90">
        <v>177193</v>
      </c>
      <c r="D90">
        <v>0</v>
      </c>
      <c r="E90">
        <v>591853177</v>
      </c>
      <c r="F90">
        <v>215.48609999999999</v>
      </c>
      <c r="G90">
        <v>6.9249000000000001</v>
      </c>
      <c r="H90">
        <v>3111.7561999999998</v>
      </c>
      <c r="I90">
        <v>0</v>
      </c>
      <c r="M90" t="s">
        <v>486</v>
      </c>
      <c r="N90">
        <v>6.2974358317458901E-2</v>
      </c>
      <c r="O90">
        <v>-9.3841136778504142E-3</v>
      </c>
      <c r="P90">
        <v>7.3042522761077366E-2</v>
      </c>
      <c r="Q90" t="s">
        <v>622</v>
      </c>
      <c r="AX90" t="s">
        <v>188</v>
      </c>
      <c r="AY90">
        <v>900675812</v>
      </c>
      <c r="AZ90">
        <v>613842842</v>
      </c>
    </row>
    <row r="91" spans="1:52" x14ac:dyDescent="0.2">
      <c r="A91" t="s">
        <v>189</v>
      </c>
      <c r="B91">
        <v>2522905</v>
      </c>
      <c r="C91">
        <v>174190</v>
      </c>
      <c r="D91">
        <v>0</v>
      </c>
      <c r="E91">
        <v>544320272</v>
      </c>
      <c r="F91">
        <v>217.8329</v>
      </c>
      <c r="G91">
        <v>6.9138000000000002</v>
      </c>
      <c r="H91">
        <v>3150.6985</v>
      </c>
      <c r="I91">
        <v>0</v>
      </c>
      <c r="M91" t="s">
        <v>487</v>
      </c>
      <c r="N91">
        <v>9.3758566217384764E-2</v>
      </c>
      <c r="O91">
        <v>7.8480465353734097E-3</v>
      </c>
      <c r="P91">
        <v>8.5236393805794952E-2</v>
      </c>
      <c r="Q91" t="s">
        <v>622</v>
      </c>
      <c r="AX91" t="s">
        <v>189</v>
      </c>
      <c r="AY91">
        <v>907567902</v>
      </c>
      <c r="AZ91">
        <v>557557440</v>
      </c>
    </row>
    <row r="92" spans="1:52" x14ac:dyDescent="0.2">
      <c r="A92" t="s">
        <v>190</v>
      </c>
      <c r="B92">
        <v>2543098</v>
      </c>
      <c r="C92">
        <v>174900</v>
      </c>
      <c r="D92">
        <v>0</v>
      </c>
      <c r="E92">
        <v>548182481</v>
      </c>
      <c r="F92">
        <v>220.75800000000001</v>
      </c>
      <c r="G92">
        <v>6.9245000000000001</v>
      </c>
      <c r="H92">
        <v>3188.0756999999999</v>
      </c>
      <c r="I92">
        <v>0</v>
      </c>
      <c r="M92" t="s">
        <v>488</v>
      </c>
      <c r="N92">
        <v>-2.1471745736801995E-2</v>
      </c>
      <c r="O92">
        <v>-3.8172038917803408E-2</v>
      </c>
      <c r="P92">
        <v>1.7360770638588541E-2</v>
      </c>
      <c r="Q92" t="s">
        <v>622</v>
      </c>
      <c r="AX92" t="s">
        <v>190</v>
      </c>
      <c r="AY92">
        <v>919417682</v>
      </c>
      <c r="AZ92">
        <v>593574421</v>
      </c>
    </row>
    <row r="93" spans="1:52" x14ac:dyDescent="0.2">
      <c r="A93" t="s">
        <v>191</v>
      </c>
      <c r="B93">
        <v>2555801</v>
      </c>
      <c r="C93">
        <v>171753</v>
      </c>
      <c r="D93">
        <v>0</v>
      </c>
      <c r="E93">
        <v>564061566</v>
      </c>
      <c r="F93">
        <v>222.0958</v>
      </c>
      <c r="G93">
        <v>6.8951000000000002</v>
      </c>
      <c r="H93">
        <v>3221.0623999999998</v>
      </c>
      <c r="I93">
        <v>0</v>
      </c>
      <c r="M93" t="s">
        <v>489</v>
      </c>
      <c r="N93">
        <v>-1.8718182192426824E-2</v>
      </c>
      <c r="O93">
        <v>-5.1386433524844843E-2</v>
      </c>
      <c r="P93">
        <v>3.4436369342652595E-2</v>
      </c>
      <c r="Q93" t="s">
        <v>622</v>
      </c>
      <c r="AX93" t="s">
        <v>191</v>
      </c>
      <c r="AY93">
        <v>935433339</v>
      </c>
      <c r="AZ93">
        <v>632526576</v>
      </c>
    </row>
    <row r="94" spans="1:52" x14ac:dyDescent="0.2">
      <c r="A94" t="s">
        <v>192</v>
      </c>
      <c r="B94">
        <v>2561257</v>
      </c>
      <c r="C94">
        <v>181196</v>
      </c>
      <c r="D94">
        <v>0</v>
      </c>
      <c r="E94">
        <v>628935632</v>
      </c>
      <c r="F94">
        <v>224.44130000000001</v>
      </c>
      <c r="G94">
        <v>6.8941999999999997</v>
      </c>
      <c r="H94">
        <v>3255.5171</v>
      </c>
      <c r="I94">
        <v>0</v>
      </c>
      <c r="M94" t="s">
        <v>490</v>
      </c>
      <c r="N94">
        <v>-0.10399892285149304</v>
      </c>
      <c r="O94">
        <v>-9.5327919941552541E-2</v>
      </c>
      <c r="P94">
        <v>-9.5817133424811463E-3</v>
      </c>
      <c r="Q94" t="s">
        <v>622</v>
      </c>
      <c r="AX94" t="s">
        <v>192</v>
      </c>
      <c r="AY94">
        <v>918895938</v>
      </c>
      <c r="AZ94">
        <v>637805484</v>
      </c>
    </row>
    <row r="95" spans="1:52" x14ac:dyDescent="0.2">
      <c r="A95" t="s">
        <v>193</v>
      </c>
      <c r="B95">
        <v>2587151</v>
      </c>
      <c r="C95">
        <v>172298</v>
      </c>
      <c r="D95">
        <v>0</v>
      </c>
      <c r="E95">
        <v>575579756</v>
      </c>
      <c r="F95">
        <v>226.0847</v>
      </c>
      <c r="G95">
        <v>6.8324999999999996</v>
      </c>
      <c r="H95">
        <v>3308.9614999999999</v>
      </c>
      <c r="I95">
        <v>0</v>
      </c>
      <c r="M95" t="s">
        <v>491</v>
      </c>
      <c r="N95">
        <v>-4.6351469469395834E-2</v>
      </c>
      <c r="O95">
        <v>-4.4490019849467322E-2</v>
      </c>
      <c r="P95">
        <v>-1.9448373942437813E-3</v>
      </c>
      <c r="Q95" t="s">
        <v>622</v>
      </c>
      <c r="AX95" t="s">
        <v>193</v>
      </c>
      <c r="AY95">
        <v>937605539</v>
      </c>
      <c r="AZ95">
        <v>594318632</v>
      </c>
    </row>
    <row r="96" spans="1:52" x14ac:dyDescent="0.2">
      <c r="A96" t="s">
        <v>194</v>
      </c>
      <c r="B96">
        <v>2606759</v>
      </c>
      <c r="C96">
        <v>173374</v>
      </c>
      <c r="D96">
        <v>0</v>
      </c>
      <c r="E96">
        <v>564209266</v>
      </c>
      <c r="F96">
        <v>226.2432</v>
      </c>
      <c r="G96">
        <v>6.7755000000000001</v>
      </c>
      <c r="H96">
        <v>3339.1298000000002</v>
      </c>
      <c r="I96">
        <v>0</v>
      </c>
      <c r="M96" t="s">
        <v>492</v>
      </c>
      <c r="N96">
        <v>-7.6946052473678694E-3</v>
      </c>
      <c r="O96">
        <v>-1.7826967876331978E-2</v>
      </c>
      <c r="P96">
        <v>1.0315783339741813E-2</v>
      </c>
      <c r="Q96" t="s">
        <v>622</v>
      </c>
      <c r="AX96" t="s">
        <v>194</v>
      </c>
      <c r="AY96">
        <v>957127074</v>
      </c>
      <c r="AZ96">
        <v>610004565</v>
      </c>
    </row>
    <row r="97" spans="1:52" x14ac:dyDescent="0.2">
      <c r="A97" t="s">
        <v>195</v>
      </c>
      <c r="B97">
        <v>2620257</v>
      </c>
      <c r="C97">
        <v>172467</v>
      </c>
      <c r="D97">
        <v>0</v>
      </c>
      <c r="E97">
        <v>589818216</v>
      </c>
      <c r="F97">
        <v>227.3201</v>
      </c>
      <c r="G97">
        <v>6.7403000000000004</v>
      </c>
      <c r="H97">
        <v>3372.5509000000002</v>
      </c>
      <c r="I97">
        <v>0</v>
      </c>
      <c r="M97" t="s">
        <v>493</v>
      </c>
      <c r="N97">
        <v>6.1547701840687363E-3</v>
      </c>
      <c r="O97">
        <v>-1.9159326128739385E-2</v>
      </c>
      <c r="P97">
        <v>2.5806553537118804E-2</v>
      </c>
      <c r="Q97" t="s">
        <v>622</v>
      </c>
      <c r="AX97" t="s">
        <v>195</v>
      </c>
      <c r="AY97">
        <v>968622970</v>
      </c>
      <c r="AZ97">
        <v>629556893</v>
      </c>
    </row>
    <row r="98" spans="1:52" x14ac:dyDescent="0.2">
      <c r="A98" t="s">
        <v>196</v>
      </c>
      <c r="B98">
        <v>2631931</v>
      </c>
      <c r="C98">
        <v>181644</v>
      </c>
      <c r="D98">
        <v>0</v>
      </c>
      <c r="E98">
        <v>644312856</v>
      </c>
      <c r="F98">
        <v>227.2542</v>
      </c>
      <c r="G98">
        <v>6.6989999999999998</v>
      </c>
      <c r="H98">
        <v>3392.3661000000002</v>
      </c>
      <c r="I98">
        <v>0</v>
      </c>
      <c r="M98" t="s">
        <v>494</v>
      </c>
      <c r="N98">
        <v>-4.7309454416050167E-2</v>
      </c>
      <c r="O98">
        <v>-5.4176314290847238E-2</v>
      </c>
      <c r="P98">
        <v>7.2647515348744918E-3</v>
      </c>
      <c r="Q98" t="s">
        <v>622</v>
      </c>
      <c r="AX98" t="s">
        <v>196</v>
      </c>
      <c r="AY98">
        <v>968118564</v>
      </c>
      <c r="AZ98">
        <v>647233603</v>
      </c>
    </row>
    <row r="99" spans="1:52" x14ac:dyDescent="0.2">
      <c r="A99" t="s">
        <v>197</v>
      </c>
      <c r="B99">
        <v>2664304</v>
      </c>
      <c r="C99">
        <v>175049</v>
      </c>
      <c r="D99">
        <v>0</v>
      </c>
      <c r="E99">
        <v>584226685</v>
      </c>
      <c r="F99">
        <v>226.40979999999999</v>
      </c>
      <c r="G99">
        <v>6.6760000000000002</v>
      </c>
      <c r="H99">
        <v>3391.3903</v>
      </c>
      <c r="I99">
        <v>0</v>
      </c>
      <c r="M99" t="s">
        <v>495</v>
      </c>
      <c r="N99">
        <v>-1.9772855885944463E-3</v>
      </c>
      <c r="O99">
        <v>-1.3135111378011377E-2</v>
      </c>
      <c r="P99">
        <v>1.1311737180507375E-2</v>
      </c>
      <c r="Q99" t="s">
        <v>622</v>
      </c>
      <c r="AX99" t="s">
        <v>197</v>
      </c>
      <c r="AY99">
        <v>968153746</v>
      </c>
      <c r="AZ99">
        <v>612105144</v>
      </c>
    </row>
    <row r="100" spans="1:52" x14ac:dyDescent="0.2">
      <c r="A100" t="s">
        <v>198</v>
      </c>
      <c r="B100">
        <v>2685830</v>
      </c>
      <c r="C100">
        <v>177060</v>
      </c>
      <c r="D100">
        <v>0</v>
      </c>
      <c r="E100">
        <v>595876840</v>
      </c>
      <c r="F100">
        <v>227.7081</v>
      </c>
      <c r="G100">
        <v>6.6609999999999996</v>
      </c>
      <c r="H100">
        <v>3418.5304999999998</v>
      </c>
      <c r="I100">
        <v>0</v>
      </c>
      <c r="M100" t="s">
        <v>496</v>
      </c>
      <c r="N100">
        <v>7.0563523783171433E-3</v>
      </c>
      <c r="O100">
        <v>-1.2009090675083822E-2</v>
      </c>
      <c r="P100">
        <v>1.9301162583792442E-2</v>
      </c>
      <c r="Q100" t="s">
        <v>622</v>
      </c>
      <c r="AX100" t="s">
        <v>198</v>
      </c>
      <c r="AY100">
        <v>961624745</v>
      </c>
      <c r="AZ100">
        <v>624335892</v>
      </c>
    </row>
    <row r="101" spans="1:52" x14ac:dyDescent="0.2">
      <c r="A101" t="s">
        <v>199</v>
      </c>
      <c r="B101">
        <v>2690401</v>
      </c>
      <c r="C101">
        <v>179665</v>
      </c>
      <c r="D101">
        <v>0</v>
      </c>
      <c r="E101">
        <v>623285830</v>
      </c>
      <c r="F101">
        <v>229.34739999999999</v>
      </c>
      <c r="G101">
        <v>6.6847000000000003</v>
      </c>
      <c r="H101">
        <v>3430.951</v>
      </c>
      <c r="I101">
        <v>0</v>
      </c>
      <c r="M101" t="s">
        <v>497</v>
      </c>
      <c r="N101">
        <v>7.7240076014466474E-3</v>
      </c>
      <c r="O101">
        <v>-1.6249472709457091E-2</v>
      </c>
      <c r="P101">
        <v>2.4369154640306423E-2</v>
      </c>
      <c r="Q101" t="s">
        <v>622</v>
      </c>
      <c r="AX101" t="s">
        <v>199</v>
      </c>
      <c r="AY101">
        <v>953846401</v>
      </c>
      <c r="AZ101">
        <v>655392622</v>
      </c>
    </row>
    <row r="102" spans="1:52" x14ac:dyDescent="0.2">
      <c r="A102" t="s">
        <v>200</v>
      </c>
      <c r="B102">
        <v>2701672</v>
      </c>
      <c r="C102">
        <v>182516</v>
      </c>
      <c r="D102">
        <v>0</v>
      </c>
      <c r="E102">
        <v>668597717</v>
      </c>
      <c r="F102">
        <v>230.1191</v>
      </c>
      <c r="G102">
        <v>6.6494</v>
      </c>
      <c r="H102">
        <v>3460.7611000000002</v>
      </c>
      <c r="I102">
        <v>0</v>
      </c>
      <c r="M102" t="s">
        <v>498</v>
      </c>
      <c r="N102">
        <v>-3.0273896371104447E-2</v>
      </c>
      <c r="O102">
        <v>-4.3597433868535429E-2</v>
      </c>
      <c r="P102">
        <v>1.3937474954142992E-2</v>
      </c>
      <c r="Q102" t="s">
        <v>622</v>
      </c>
      <c r="AX102" t="s">
        <v>200</v>
      </c>
      <c r="AY102">
        <v>947542443</v>
      </c>
      <c r="AZ102">
        <v>662340247</v>
      </c>
    </row>
    <row r="103" spans="1:52" x14ac:dyDescent="0.2">
      <c r="A103" t="s">
        <v>201</v>
      </c>
      <c r="B103">
        <v>2717382</v>
      </c>
      <c r="C103">
        <v>172662</v>
      </c>
      <c r="D103">
        <v>0</v>
      </c>
      <c r="E103">
        <v>577397137</v>
      </c>
      <c r="F103">
        <v>228.35499999999999</v>
      </c>
      <c r="G103">
        <v>6.5945999999999998</v>
      </c>
      <c r="H103">
        <v>3462.7716</v>
      </c>
      <c r="I103">
        <v>0</v>
      </c>
      <c r="M103" t="s">
        <v>499</v>
      </c>
      <c r="N103">
        <v>-3.6355187458358973E-3</v>
      </c>
      <c r="O103">
        <v>-2.1216448430762758E-2</v>
      </c>
      <c r="P103">
        <v>1.7967912812112186E-2</v>
      </c>
      <c r="Q103" t="s">
        <v>622</v>
      </c>
      <c r="AX103" t="s">
        <v>201</v>
      </c>
      <c r="AY103">
        <v>947916591</v>
      </c>
      <c r="AZ103">
        <v>573775168</v>
      </c>
    </row>
    <row r="104" spans="1:52" x14ac:dyDescent="0.2">
      <c r="A104" t="s">
        <v>202</v>
      </c>
      <c r="B104">
        <v>2736470</v>
      </c>
      <c r="C104">
        <v>166635</v>
      </c>
      <c r="D104">
        <v>0</v>
      </c>
      <c r="E104">
        <v>537951466</v>
      </c>
      <c r="F104">
        <v>221.94810000000001</v>
      </c>
      <c r="G104">
        <v>6.4676999999999998</v>
      </c>
      <c r="H104">
        <v>3431.6574000000001</v>
      </c>
      <c r="I104">
        <v>0</v>
      </c>
      <c r="M104" t="s">
        <v>500</v>
      </c>
      <c r="N104">
        <v>1.002987345792139E-2</v>
      </c>
      <c r="O104">
        <v>-1.0671945081164758E-2</v>
      </c>
      <c r="P104">
        <v>2.0926709700470614E-2</v>
      </c>
      <c r="Q104" t="s">
        <v>622</v>
      </c>
      <c r="AX104" t="s">
        <v>202</v>
      </c>
      <c r="AY104">
        <v>936712520</v>
      </c>
      <c r="AZ104">
        <v>575694631</v>
      </c>
    </row>
    <row r="105" spans="1:52" x14ac:dyDescent="0.2">
      <c r="A105" t="s">
        <v>203</v>
      </c>
      <c r="B105">
        <v>2742571</v>
      </c>
      <c r="C105">
        <v>164898</v>
      </c>
      <c r="D105">
        <v>0</v>
      </c>
      <c r="E105">
        <v>574904534</v>
      </c>
      <c r="F105">
        <v>216.4462</v>
      </c>
      <c r="G105">
        <v>6.3011999999999997</v>
      </c>
      <c r="H105">
        <v>3434.9978999999998</v>
      </c>
      <c r="I105">
        <v>0</v>
      </c>
      <c r="M105" t="s">
        <v>501</v>
      </c>
      <c r="N105">
        <v>8.8069405903712372E-3</v>
      </c>
      <c r="O105">
        <v>-1.6475378340295777E-2</v>
      </c>
      <c r="P105">
        <v>2.5705034211713995E-2</v>
      </c>
      <c r="Q105" t="s">
        <v>622</v>
      </c>
      <c r="AX105" t="s">
        <v>203</v>
      </c>
      <c r="AY105">
        <v>922623636</v>
      </c>
      <c r="AZ105">
        <v>598356150</v>
      </c>
    </row>
    <row r="106" spans="1:52" x14ac:dyDescent="0.2">
      <c r="A106" t="s">
        <v>204</v>
      </c>
      <c r="B106">
        <v>2737164</v>
      </c>
      <c r="C106">
        <v>173324</v>
      </c>
      <c r="D106">
        <v>0</v>
      </c>
      <c r="E106">
        <v>628162431</v>
      </c>
      <c r="F106">
        <v>212.0453</v>
      </c>
      <c r="G106">
        <v>6.1966999999999999</v>
      </c>
      <c r="H106">
        <v>3421.9196000000002</v>
      </c>
      <c r="I106">
        <v>0</v>
      </c>
      <c r="M106" t="s">
        <v>502</v>
      </c>
      <c r="N106">
        <v>3.0677224119446844E-2</v>
      </c>
      <c r="O106">
        <v>-4.1954737306224121E-2</v>
      </c>
      <c r="P106">
        <v>7.587109512554302E-2</v>
      </c>
      <c r="Q106">
        <v>-3.277493005550125E-2</v>
      </c>
      <c r="AX106" t="s">
        <v>204</v>
      </c>
      <c r="AY106">
        <v>911287585</v>
      </c>
      <c r="AZ106">
        <v>609511568</v>
      </c>
    </row>
    <row r="107" spans="1:52" x14ac:dyDescent="0.2">
      <c r="A107" t="s">
        <v>205</v>
      </c>
      <c r="B107">
        <v>21213886</v>
      </c>
      <c r="C107">
        <v>1423561</v>
      </c>
      <c r="D107">
        <v>0</v>
      </c>
      <c r="E107">
        <v>4097239784</v>
      </c>
      <c r="F107">
        <v>193.1395</v>
      </c>
      <c r="G107">
        <v>6.7104999999999997</v>
      </c>
      <c r="H107">
        <v>2878.1624000000002</v>
      </c>
      <c r="I107">
        <v>0</v>
      </c>
      <c r="M107" t="s">
        <v>503</v>
      </c>
      <c r="N107">
        <v>2.1298329408741434E-2</v>
      </c>
      <c r="O107">
        <v>-4.6249777091613153E-2</v>
      </c>
      <c r="P107">
        <v>7.0806286854369516E-2</v>
      </c>
      <c r="Q107">
        <v>-2.6082541879457688E-2</v>
      </c>
      <c r="AX107" t="s">
        <v>205</v>
      </c>
      <c r="AY107">
        <v>6532001335</v>
      </c>
      <c r="AZ107">
        <v>4557576218</v>
      </c>
    </row>
    <row r="108" spans="1:52" x14ac:dyDescent="0.2">
      <c r="A108" t="s">
        <v>206</v>
      </c>
      <c r="B108">
        <v>21554061</v>
      </c>
      <c r="C108">
        <v>1258708</v>
      </c>
      <c r="D108">
        <v>0</v>
      </c>
      <c r="E108">
        <v>3310145216</v>
      </c>
      <c r="F108">
        <v>173.1995</v>
      </c>
      <c r="G108">
        <v>6.2717000000000001</v>
      </c>
      <c r="H108">
        <v>2761.6115</v>
      </c>
      <c r="I108">
        <v>0</v>
      </c>
      <c r="M108" t="s">
        <v>504</v>
      </c>
      <c r="N108">
        <v>1.5030821387285176E-2</v>
      </c>
      <c r="O108">
        <v>-4.9862041623022657E-2</v>
      </c>
      <c r="P108">
        <v>6.829790939750402E-2</v>
      </c>
      <c r="Q108">
        <v>-1.9240526013693304E-2</v>
      </c>
      <c r="AX108" t="s">
        <v>206</v>
      </c>
      <c r="AY108">
        <v>6665733995</v>
      </c>
      <c r="AZ108">
        <v>4055819556</v>
      </c>
    </row>
    <row r="109" spans="1:52" x14ac:dyDescent="0.2">
      <c r="A109" t="s">
        <v>207</v>
      </c>
      <c r="B109">
        <v>21676368</v>
      </c>
      <c r="C109">
        <v>1260917</v>
      </c>
      <c r="D109">
        <v>0</v>
      </c>
      <c r="E109">
        <v>3482595271</v>
      </c>
      <c r="F109">
        <v>168.9828</v>
      </c>
      <c r="G109">
        <v>6.1186999999999996</v>
      </c>
      <c r="H109">
        <v>2761.7212</v>
      </c>
      <c r="I109">
        <v>0</v>
      </c>
      <c r="M109" t="s">
        <v>505</v>
      </c>
      <c r="N109">
        <v>1.065543740971453E-3</v>
      </c>
      <c r="O109">
        <v>-4.8638493725638221E-2</v>
      </c>
      <c r="P109">
        <v>5.224684146916414E-2</v>
      </c>
      <c r="Q109">
        <v>-3.0731896679518367E-2</v>
      </c>
      <c r="AX109" t="s">
        <v>207</v>
      </c>
      <c r="AY109">
        <v>6748241379</v>
      </c>
      <c r="AZ109">
        <v>4279042358</v>
      </c>
    </row>
    <row r="110" spans="1:52" x14ac:dyDescent="0.2">
      <c r="A110" t="s">
        <v>208</v>
      </c>
      <c r="B110">
        <v>21661675</v>
      </c>
      <c r="C110">
        <v>1259161</v>
      </c>
      <c r="D110">
        <v>0</v>
      </c>
      <c r="E110">
        <v>3633444933</v>
      </c>
      <c r="F110">
        <v>168.66919999999999</v>
      </c>
      <c r="G110">
        <v>6.0418000000000003</v>
      </c>
      <c r="H110">
        <v>2791.7064</v>
      </c>
      <c r="I110">
        <v>0</v>
      </c>
      <c r="M110" t="s">
        <v>506</v>
      </c>
      <c r="N110">
        <v>4.4291975885721868E-3</v>
      </c>
      <c r="O110">
        <v>-3.1745645633105557E-3</v>
      </c>
      <c r="P110">
        <v>7.6788114107906313E-3</v>
      </c>
      <c r="Q110" t="s">
        <v>622</v>
      </c>
      <c r="AX110" t="s">
        <v>208</v>
      </c>
      <c r="AY110">
        <v>6739862585</v>
      </c>
      <c r="AZ110">
        <v>4686986839</v>
      </c>
    </row>
    <row r="111" spans="1:52" x14ac:dyDescent="0.2">
      <c r="A111" t="s">
        <v>209</v>
      </c>
      <c r="B111">
        <v>21659245</v>
      </c>
      <c r="C111">
        <v>1397660</v>
      </c>
      <c r="D111">
        <v>0</v>
      </c>
      <c r="E111">
        <v>4203922293</v>
      </c>
      <c r="F111">
        <v>169.03380000000001</v>
      </c>
      <c r="G111">
        <v>5.9808000000000003</v>
      </c>
      <c r="H111">
        <v>2826.2842000000001</v>
      </c>
      <c r="I111">
        <v>0</v>
      </c>
      <c r="M111" t="s">
        <v>507</v>
      </c>
      <c r="N111">
        <v>2.3795393221168526E-2</v>
      </c>
      <c r="O111">
        <v>5.9440307913000812E-2</v>
      </c>
      <c r="P111">
        <v>-3.3620254714660014E-2</v>
      </c>
      <c r="Q111" t="s">
        <v>622</v>
      </c>
      <c r="AX111" t="s">
        <v>209</v>
      </c>
      <c r="AY111">
        <v>6710684225</v>
      </c>
      <c r="AZ111">
        <v>4814970742</v>
      </c>
    </row>
    <row r="112" spans="1:52" x14ac:dyDescent="0.2">
      <c r="A112" t="s">
        <v>210</v>
      </c>
      <c r="B112">
        <v>21915333</v>
      </c>
      <c r="C112">
        <v>1271860</v>
      </c>
      <c r="D112">
        <v>0</v>
      </c>
      <c r="E112">
        <v>3515569603</v>
      </c>
      <c r="F112">
        <v>170.69479999999999</v>
      </c>
      <c r="G112">
        <v>5.9710999999999999</v>
      </c>
      <c r="H112">
        <v>2858.7055</v>
      </c>
      <c r="I112">
        <v>0</v>
      </c>
      <c r="M112" t="s">
        <v>508</v>
      </c>
      <c r="N112">
        <v>-6.2190264869810274E-3</v>
      </c>
      <c r="O112">
        <v>3.8130234030718801E-2</v>
      </c>
      <c r="P112">
        <v>-4.2705322679875701E-2</v>
      </c>
      <c r="Q112" t="s">
        <v>622</v>
      </c>
      <c r="AX112" t="s">
        <v>210</v>
      </c>
      <c r="AY112">
        <v>6748025517</v>
      </c>
      <c r="AZ112">
        <v>4327495894</v>
      </c>
    </row>
    <row r="113" spans="1:52" x14ac:dyDescent="0.2">
      <c r="A113" t="s">
        <v>211</v>
      </c>
      <c r="B113">
        <v>22091650</v>
      </c>
      <c r="C113">
        <v>1276133</v>
      </c>
      <c r="D113">
        <v>0</v>
      </c>
      <c r="E113">
        <v>3588752326</v>
      </c>
      <c r="F113">
        <v>171.09870000000001</v>
      </c>
      <c r="G113">
        <v>5.9600999999999997</v>
      </c>
      <c r="H113">
        <v>2870.7440999999999</v>
      </c>
      <c r="I113">
        <v>0</v>
      </c>
      <c r="M113" t="s">
        <v>509</v>
      </c>
      <c r="N113">
        <v>1.2003967387781422E-3</v>
      </c>
      <c r="O113">
        <v>1.08472044117216E-2</v>
      </c>
      <c r="P113">
        <v>-9.5427013586909526E-3</v>
      </c>
      <c r="Q113" t="s">
        <v>622</v>
      </c>
      <c r="AX113" t="s">
        <v>211</v>
      </c>
      <c r="AY113">
        <v>6786517896</v>
      </c>
      <c r="AZ113">
        <v>4406957643</v>
      </c>
    </row>
    <row r="114" spans="1:52" x14ac:dyDescent="0.2">
      <c r="A114" t="s">
        <v>212</v>
      </c>
      <c r="B114">
        <v>22083615</v>
      </c>
      <c r="C114">
        <v>1262570</v>
      </c>
      <c r="D114">
        <v>0</v>
      </c>
      <c r="E114">
        <v>3789248601</v>
      </c>
      <c r="F114">
        <v>172.0515</v>
      </c>
      <c r="G114">
        <v>5.9352999999999998</v>
      </c>
      <c r="H114">
        <v>2898.78</v>
      </c>
      <c r="I114">
        <v>0</v>
      </c>
      <c r="M114" t="s">
        <v>510</v>
      </c>
      <c r="N114">
        <v>9.7243304299994809E-4</v>
      </c>
      <c r="O114">
        <v>0.9963427792606051</v>
      </c>
      <c r="P114">
        <v>0.95842665013586659</v>
      </c>
      <c r="Q114">
        <v>0.99335591412253865</v>
      </c>
      <c r="AX114" t="s">
        <v>212</v>
      </c>
      <c r="AY114">
        <v>6844368484</v>
      </c>
      <c r="AZ114">
        <v>4946322969</v>
      </c>
    </row>
    <row r="115" spans="1:52" x14ac:dyDescent="0.2">
      <c r="A115" t="s">
        <v>213</v>
      </c>
      <c r="B115">
        <v>22081351</v>
      </c>
      <c r="C115">
        <v>1353967</v>
      </c>
      <c r="D115">
        <v>0</v>
      </c>
      <c r="E115">
        <v>4201261216</v>
      </c>
      <c r="F115">
        <v>171.1977</v>
      </c>
      <c r="G115">
        <v>5.8573000000000004</v>
      </c>
      <c r="H115">
        <v>2922.7891</v>
      </c>
      <c r="I115">
        <v>0</v>
      </c>
      <c r="M115" t="s">
        <v>511</v>
      </c>
      <c r="N115">
        <v>0.2969988898404759</v>
      </c>
      <c r="O115">
        <v>0.98859080152133516</v>
      </c>
      <c r="P115">
        <v>0.9041390226117797</v>
      </c>
      <c r="Q115">
        <v>0.96945590689999228</v>
      </c>
      <c r="AX115" t="s">
        <v>213</v>
      </c>
      <c r="AY115">
        <v>6592976677</v>
      </c>
      <c r="AZ115">
        <v>4690721770</v>
      </c>
    </row>
    <row r="116" spans="1:52" x14ac:dyDescent="0.2">
      <c r="A116" t="s">
        <v>214</v>
      </c>
      <c r="B116">
        <v>22371687</v>
      </c>
      <c r="C116">
        <v>1241668</v>
      </c>
      <c r="D116">
        <v>0</v>
      </c>
      <c r="E116">
        <v>3568780618</v>
      </c>
      <c r="F116">
        <v>170.91650000000001</v>
      </c>
      <c r="G116">
        <v>5.7930999999999999</v>
      </c>
      <c r="H116">
        <v>2950.34</v>
      </c>
      <c r="I116">
        <v>0</v>
      </c>
      <c r="M116" t="s">
        <v>512</v>
      </c>
      <c r="N116">
        <v>0.21164622993499307</v>
      </c>
      <c r="O116">
        <v>0.96647837321684771</v>
      </c>
      <c r="P116">
        <v>0.95371116513687648</v>
      </c>
      <c r="Q116">
        <v>0.96002148132101761</v>
      </c>
      <c r="AX116" t="s">
        <v>214</v>
      </c>
      <c r="AY116">
        <v>6669922840</v>
      </c>
      <c r="AZ116">
        <v>4337153448</v>
      </c>
    </row>
    <row r="117" spans="1:52" x14ac:dyDescent="0.2">
      <c r="A117" t="s">
        <v>215</v>
      </c>
      <c r="B117">
        <v>22518155</v>
      </c>
      <c r="C117">
        <v>1252023</v>
      </c>
      <c r="D117">
        <v>0</v>
      </c>
      <c r="E117">
        <v>3639772090</v>
      </c>
      <c r="F117">
        <v>170.67089999999999</v>
      </c>
      <c r="G117">
        <v>5.7382999999999997</v>
      </c>
      <c r="H117">
        <v>2974.2435</v>
      </c>
      <c r="I117">
        <v>0</v>
      </c>
      <c r="M117" t="s">
        <v>513</v>
      </c>
      <c r="N117">
        <v>6.5355384843225006E-2</v>
      </c>
      <c r="O117">
        <v>0.93144014129037411</v>
      </c>
      <c r="P117">
        <v>0.97508406904195688</v>
      </c>
      <c r="Q117">
        <v>0.97832614771410586</v>
      </c>
      <c r="AX117" t="s">
        <v>215</v>
      </c>
      <c r="AY117">
        <v>6698891922</v>
      </c>
      <c r="AZ117">
        <v>4385062245</v>
      </c>
    </row>
    <row r="118" spans="1:52" x14ac:dyDescent="0.2">
      <c r="A118" t="s">
        <v>216</v>
      </c>
      <c r="B118">
        <v>22496683</v>
      </c>
      <c r="C118">
        <v>1270433</v>
      </c>
      <c r="D118">
        <v>0</v>
      </c>
      <c r="E118">
        <v>3883668218</v>
      </c>
      <c r="F118">
        <v>170.93819999999999</v>
      </c>
      <c r="G118">
        <v>5.7206000000000001</v>
      </c>
      <c r="H118">
        <v>2988.1224000000002</v>
      </c>
      <c r="I118">
        <v>0</v>
      </c>
      <c r="M118" t="s">
        <v>514</v>
      </c>
      <c r="N118">
        <v>0.86797199832116534</v>
      </c>
      <c r="O118">
        <v>0.96248277069157884</v>
      </c>
      <c r="P118">
        <v>6.6793814205156731E-4</v>
      </c>
      <c r="Q118">
        <v>0.97182455383007493</v>
      </c>
      <c r="AX118" t="s">
        <v>216</v>
      </c>
      <c r="AY118">
        <v>6683540161</v>
      </c>
      <c r="AZ118">
        <v>4828317935</v>
      </c>
    </row>
    <row r="119" spans="1:52" x14ac:dyDescent="0.2">
      <c r="A119" t="s">
        <v>217</v>
      </c>
      <c r="B119">
        <v>22508657</v>
      </c>
      <c r="C119">
        <v>1415679</v>
      </c>
      <c r="D119">
        <v>0</v>
      </c>
      <c r="E119">
        <v>4403181414</v>
      </c>
      <c r="F119">
        <v>172.37190000000001</v>
      </c>
      <c r="G119">
        <v>5.7619999999999996</v>
      </c>
      <c r="H119">
        <v>2991.5041999999999</v>
      </c>
      <c r="I119">
        <v>0</v>
      </c>
      <c r="M119" t="s">
        <v>515</v>
      </c>
      <c r="N119">
        <v>2.3251289488884344E-2</v>
      </c>
      <c r="O119">
        <v>0.95307482884732064</v>
      </c>
      <c r="P119">
        <v>0.81693580900705054</v>
      </c>
      <c r="Q119">
        <v>0.94536972289940202</v>
      </c>
      <c r="AX119" t="s">
        <v>217</v>
      </c>
      <c r="AY119">
        <v>6628052655</v>
      </c>
      <c r="AZ119">
        <v>5024065103</v>
      </c>
    </row>
    <row r="120" spans="1:52" x14ac:dyDescent="0.2">
      <c r="A120" t="s">
        <v>218</v>
      </c>
      <c r="B120">
        <v>22796619</v>
      </c>
      <c r="C120">
        <v>1304540</v>
      </c>
      <c r="D120">
        <v>0</v>
      </c>
      <c r="E120">
        <v>3734247213</v>
      </c>
      <c r="F120">
        <v>173.3929</v>
      </c>
      <c r="G120">
        <v>5.8045</v>
      </c>
      <c r="H120">
        <v>2987.1905000000002</v>
      </c>
      <c r="I120">
        <v>0</v>
      </c>
      <c r="M120" t="s">
        <v>516</v>
      </c>
      <c r="N120">
        <v>0.19013737246188472</v>
      </c>
      <c r="O120">
        <v>0.96349487167008985</v>
      </c>
      <c r="P120">
        <v>0.9419598426127479</v>
      </c>
      <c r="Q120">
        <v>0.97419887186989496</v>
      </c>
      <c r="AX120" t="s">
        <v>218</v>
      </c>
      <c r="AY120">
        <v>6633398625</v>
      </c>
      <c r="AZ120">
        <v>4485873030</v>
      </c>
    </row>
    <row r="121" spans="1:52" x14ac:dyDescent="0.2">
      <c r="A121" t="s">
        <v>219</v>
      </c>
      <c r="B121">
        <v>22928488</v>
      </c>
      <c r="C121">
        <v>1292409</v>
      </c>
      <c r="D121">
        <v>0</v>
      </c>
      <c r="E121">
        <v>3774113971</v>
      </c>
      <c r="F121">
        <v>174.08940000000001</v>
      </c>
      <c r="G121">
        <v>5.8228</v>
      </c>
      <c r="H121">
        <v>2989.7838999999999</v>
      </c>
      <c r="I121">
        <v>0</v>
      </c>
      <c r="M121" t="s">
        <v>517</v>
      </c>
      <c r="N121">
        <v>1.6501856134904019E-3</v>
      </c>
      <c r="O121">
        <v>0.9565831747657515</v>
      </c>
      <c r="P121">
        <v>0.964892242666056</v>
      </c>
      <c r="Q121">
        <v>0.96629168737905491</v>
      </c>
      <c r="AX121" t="s">
        <v>219</v>
      </c>
      <c r="AY121">
        <v>6599607969</v>
      </c>
      <c r="AZ121">
        <v>4448766561</v>
      </c>
    </row>
    <row r="122" spans="1:52" x14ac:dyDescent="0.2">
      <c r="A122" t="s">
        <v>220</v>
      </c>
      <c r="B122">
        <v>22892170</v>
      </c>
      <c r="C122">
        <v>1324389</v>
      </c>
      <c r="D122">
        <v>0</v>
      </c>
      <c r="E122">
        <v>4044878882</v>
      </c>
      <c r="F122">
        <v>175.10300000000001</v>
      </c>
      <c r="G122">
        <v>5.8567</v>
      </c>
      <c r="H122">
        <v>2989.7640000000001</v>
      </c>
      <c r="I122">
        <v>0</v>
      </c>
      <c r="M122" t="s">
        <v>518</v>
      </c>
      <c r="N122">
        <v>0.71953275857651</v>
      </c>
      <c r="O122">
        <v>0.99763778179722529</v>
      </c>
      <c r="P122">
        <v>0.97374972890852829</v>
      </c>
      <c r="Q122">
        <v>0.97215765628637429</v>
      </c>
      <c r="AX122" t="s">
        <v>220</v>
      </c>
      <c r="AY122">
        <v>6560187376</v>
      </c>
      <c r="AZ122">
        <v>4988617718</v>
      </c>
    </row>
    <row r="123" spans="1:52" x14ac:dyDescent="0.2">
      <c r="A123" t="s">
        <v>221</v>
      </c>
      <c r="B123">
        <v>22901544</v>
      </c>
      <c r="C123">
        <v>1442588</v>
      </c>
      <c r="D123">
        <v>0</v>
      </c>
      <c r="E123">
        <v>4615999083</v>
      </c>
      <c r="F123">
        <v>176.67670000000001</v>
      </c>
      <c r="G123">
        <v>5.8609999999999998</v>
      </c>
      <c r="H123">
        <v>3014.4411</v>
      </c>
      <c r="I123">
        <v>0</v>
      </c>
      <c r="M123" t="s">
        <v>519</v>
      </c>
      <c r="N123">
        <v>0.95596465670434061</v>
      </c>
      <c r="O123">
        <v>0.99302487917851112</v>
      </c>
      <c r="P123">
        <v>0.996361630805223</v>
      </c>
      <c r="Q123">
        <v>0.98888194750740754</v>
      </c>
      <c r="AX123" t="s">
        <v>221</v>
      </c>
      <c r="AY123">
        <v>6540399956</v>
      </c>
      <c r="AZ123">
        <v>5194073611</v>
      </c>
    </row>
    <row r="124" spans="1:52" x14ac:dyDescent="0.2">
      <c r="A124" t="s">
        <v>222</v>
      </c>
      <c r="B124">
        <v>23118006</v>
      </c>
      <c r="C124">
        <v>1298627</v>
      </c>
      <c r="D124">
        <v>0</v>
      </c>
      <c r="E124">
        <v>3681709886</v>
      </c>
      <c r="F124">
        <v>175.4863</v>
      </c>
      <c r="G124">
        <v>5.8341000000000003</v>
      </c>
      <c r="H124">
        <v>3007.9623999999999</v>
      </c>
      <c r="I124">
        <v>0</v>
      </c>
      <c r="M124" t="s">
        <v>520</v>
      </c>
      <c r="N124">
        <v>0.97006681379438997</v>
      </c>
      <c r="O124">
        <v>0.99528265114486869</v>
      </c>
      <c r="P124">
        <v>0.9979776742603812</v>
      </c>
      <c r="Q124">
        <v>0.98449316033879175</v>
      </c>
      <c r="AX124" t="s">
        <v>222</v>
      </c>
      <c r="AY124">
        <v>6567439011</v>
      </c>
      <c r="AZ124">
        <v>4257403324</v>
      </c>
    </row>
    <row r="125" spans="1:52" x14ac:dyDescent="0.2">
      <c r="A125" t="s">
        <v>223</v>
      </c>
      <c r="B125">
        <v>23196936</v>
      </c>
      <c r="C125">
        <v>1260910</v>
      </c>
      <c r="D125">
        <v>0</v>
      </c>
      <c r="E125">
        <v>3604982528</v>
      </c>
      <c r="F125">
        <v>173.1387</v>
      </c>
      <c r="G125">
        <v>5.7828999999999997</v>
      </c>
      <c r="H125">
        <v>2993.9976000000001</v>
      </c>
      <c r="I125">
        <v>0</v>
      </c>
      <c r="M125" t="s">
        <v>521</v>
      </c>
      <c r="N125">
        <v>0.62194698891974876</v>
      </c>
      <c r="O125">
        <v>0.99333422285364215</v>
      </c>
      <c r="P125">
        <v>0.98760906468613152</v>
      </c>
      <c r="Q125">
        <v>0.99292799627369033</v>
      </c>
      <c r="AX125" t="s">
        <v>223</v>
      </c>
      <c r="AY125">
        <v>6572816039</v>
      </c>
      <c r="AZ125">
        <v>4299800982</v>
      </c>
    </row>
    <row r="126" spans="1:52" x14ac:dyDescent="0.2">
      <c r="A126" t="s">
        <v>224</v>
      </c>
      <c r="B126">
        <v>23055159</v>
      </c>
      <c r="C126">
        <v>1262338</v>
      </c>
      <c r="D126">
        <v>0</v>
      </c>
      <c r="E126">
        <v>3913429448</v>
      </c>
      <c r="F126">
        <v>171.40819999999999</v>
      </c>
      <c r="G126">
        <v>5.7054</v>
      </c>
      <c r="H126">
        <v>3004.3180000000002</v>
      </c>
      <c r="I126">
        <v>0</v>
      </c>
      <c r="M126" t="s">
        <v>522</v>
      </c>
      <c r="N126">
        <v>0.99668355567186506</v>
      </c>
      <c r="O126">
        <v>0.99939516724655719</v>
      </c>
      <c r="P126">
        <v>0.93909605052340073</v>
      </c>
      <c r="Q126" t="s">
        <v>622</v>
      </c>
      <c r="AX126" t="s">
        <v>224</v>
      </c>
      <c r="AY126">
        <v>6516387369</v>
      </c>
      <c r="AZ126">
        <v>4819403823</v>
      </c>
    </row>
    <row r="127" spans="1:52" x14ac:dyDescent="0.2">
      <c r="A127" t="s">
        <v>225</v>
      </c>
      <c r="B127">
        <v>22908815</v>
      </c>
      <c r="C127">
        <v>1419623</v>
      </c>
      <c r="D127">
        <v>0</v>
      </c>
      <c r="E127">
        <v>4414462320</v>
      </c>
      <c r="F127">
        <v>169.2107</v>
      </c>
      <c r="G127">
        <v>5.6801000000000004</v>
      </c>
      <c r="H127">
        <v>2979.0308</v>
      </c>
      <c r="I127">
        <v>0</v>
      </c>
      <c r="M127" t="s">
        <v>523</v>
      </c>
      <c r="N127">
        <v>0.92362320296440192</v>
      </c>
      <c r="O127">
        <v>0.87565485476740157</v>
      </c>
      <c r="P127">
        <v>0.95523095790579315</v>
      </c>
      <c r="Q127" t="s">
        <v>622</v>
      </c>
      <c r="AX127" t="s">
        <v>225</v>
      </c>
      <c r="AY127">
        <v>6455050759</v>
      </c>
      <c r="AZ127">
        <v>4747368924</v>
      </c>
    </row>
    <row r="128" spans="1:52" x14ac:dyDescent="0.2">
      <c r="A128" t="s">
        <v>226</v>
      </c>
      <c r="B128">
        <v>451535</v>
      </c>
      <c r="C128">
        <v>84647</v>
      </c>
      <c r="D128">
        <v>0</v>
      </c>
      <c r="E128">
        <v>54801862</v>
      </c>
      <c r="F128">
        <v>121.36790000000001</v>
      </c>
      <c r="G128">
        <v>18.746500000000001</v>
      </c>
      <c r="H128">
        <v>647.41650000000004</v>
      </c>
      <c r="I128">
        <v>0</v>
      </c>
      <c r="M128" t="s">
        <v>524</v>
      </c>
      <c r="N128">
        <v>0.49428244920617526</v>
      </c>
      <c r="O128">
        <v>0.48545300686524723</v>
      </c>
      <c r="P128">
        <v>0.48463249126473801</v>
      </c>
      <c r="Q128" t="s">
        <v>622</v>
      </c>
      <c r="AX128" t="s">
        <v>226</v>
      </c>
      <c r="AY128">
        <v>108021899</v>
      </c>
      <c r="AZ128">
        <v>70583952</v>
      </c>
    </row>
    <row r="129" spans="1:52" x14ac:dyDescent="0.2">
      <c r="A129" t="s">
        <v>227</v>
      </c>
      <c r="B129">
        <v>455842</v>
      </c>
      <c r="C129">
        <v>99989</v>
      </c>
      <c r="D129">
        <v>0</v>
      </c>
      <c r="E129">
        <v>57437979</v>
      </c>
      <c r="F129">
        <v>123.697</v>
      </c>
      <c r="G129">
        <v>20.348299999999998</v>
      </c>
      <c r="H129">
        <v>607.89790000000005</v>
      </c>
      <c r="I129">
        <v>0</v>
      </c>
      <c r="M129" t="s">
        <v>525</v>
      </c>
      <c r="N129">
        <v>0.27310897753052044</v>
      </c>
      <c r="O129">
        <v>0.40427516235304362</v>
      </c>
      <c r="P129">
        <v>7.7527010061054641E-2</v>
      </c>
      <c r="Q129" t="s">
        <v>622</v>
      </c>
      <c r="AX129" t="s">
        <v>227</v>
      </c>
      <c r="AY129">
        <v>109662857</v>
      </c>
      <c r="AZ129">
        <v>68965189</v>
      </c>
    </row>
    <row r="130" spans="1:52" x14ac:dyDescent="0.2">
      <c r="A130" t="s">
        <v>228</v>
      </c>
      <c r="B130">
        <v>459696</v>
      </c>
      <c r="C130">
        <v>95886</v>
      </c>
      <c r="D130">
        <v>0</v>
      </c>
      <c r="E130">
        <v>58383939</v>
      </c>
      <c r="F130">
        <v>124.8096</v>
      </c>
      <c r="G130">
        <v>20.5199</v>
      </c>
      <c r="H130">
        <v>608.23670000000004</v>
      </c>
      <c r="I130">
        <v>0</v>
      </c>
      <c r="M130" t="s">
        <v>526</v>
      </c>
      <c r="N130">
        <v>0.99324192978244974</v>
      </c>
      <c r="O130">
        <v>0.99311243723347054</v>
      </c>
      <c r="P130">
        <v>0.77128124730533387</v>
      </c>
      <c r="Q130" t="s">
        <v>622</v>
      </c>
      <c r="AX130" t="s">
        <v>228</v>
      </c>
      <c r="AY130">
        <v>111023745</v>
      </c>
      <c r="AZ130">
        <v>67300854</v>
      </c>
    </row>
    <row r="131" spans="1:52" x14ac:dyDescent="0.2">
      <c r="A131" t="s">
        <v>229</v>
      </c>
      <c r="B131">
        <v>463955</v>
      </c>
      <c r="C131">
        <v>83244</v>
      </c>
      <c r="D131">
        <v>0</v>
      </c>
      <c r="E131">
        <v>50134009</v>
      </c>
      <c r="F131">
        <v>120.56489999999999</v>
      </c>
      <c r="G131">
        <v>19.866800000000001</v>
      </c>
      <c r="H131">
        <v>606.86760000000004</v>
      </c>
      <c r="I131">
        <v>0</v>
      </c>
      <c r="M131" t="s">
        <v>527</v>
      </c>
      <c r="N131">
        <v>0.6304078095802258</v>
      </c>
      <c r="O131">
        <v>0.82368091468287252</v>
      </c>
      <c r="P131">
        <v>0.14435477990433102</v>
      </c>
      <c r="Q131" t="s">
        <v>622</v>
      </c>
      <c r="AX131" t="s">
        <v>229</v>
      </c>
      <c r="AY131">
        <v>111922042</v>
      </c>
      <c r="AZ131">
        <v>57807194</v>
      </c>
    </row>
    <row r="132" spans="1:52" x14ac:dyDescent="0.2">
      <c r="A132" t="s">
        <v>230</v>
      </c>
      <c r="B132">
        <v>467793</v>
      </c>
      <c r="C132">
        <v>84241</v>
      </c>
      <c r="D132">
        <v>0</v>
      </c>
      <c r="E132">
        <v>50481922</v>
      </c>
      <c r="F132">
        <v>117.1653</v>
      </c>
      <c r="G132">
        <v>19.669899999999998</v>
      </c>
      <c r="H132">
        <v>595.65679999999998</v>
      </c>
      <c r="I132">
        <v>0</v>
      </c>
      <c r="M132" t="s">
        <v>528</v>
      </c>
      <c r="N132">
        <v>0.36444781582997909</v>
      </c>
      <c r="O132">
        <v>0.82124428638971225</v>
      </c>
      <c r="P132">
        <v>0.69173511666661358</v>
      </c>
      <c r="Q132" t="s">
        <v>622</v>
      </c>
      <c r="AX132" t="s">
        <v>230</v>
      </c>
      <c r="AY132">
        <v>112573489</v>
      </c>
      <c r="AZ132">
        <v>63281392</v>
      </c>
    </row>
    <row r="133" spans="1:52" x14ac:dyDescent="0.2">
      <c r="A133" t="s">
        <v>231</v>
      </c>
      <c r="B133">
        <v>474305</v>
      </c>
      <c r="C133">
        <v>103663</v>
      </c>
      <c r="D133">
        <v>0</v>
      </c>
      <c r="E133">
        <v>55467644</v>
      </c>
      <c r="F133">
        <v>114.9498</v>
      </c>
      <c r="G133">
        <v>19.6722</v>
      </c>
      <c r="H133">
        <v>584.32600000000002</v>
      </c>
      <c r="I133">
        <v>0</v>
      </c>
      <c r="M133" t="s">
        <v>529</v>
      </c>
      <c r="N133">
        <v>7.9689574803301823E-3</v>
      </c>
      <c r="O133">
        <v>0.87127231279145956</v>
      </c>
      <c r="P133">
        <v>0.83145993773914229</v>
      </c>
      <c r="Q133" t="s">
        <v>622</v>
      </c>
      <c r="AX133" t="s">
        <v>231</v>
      </c>
      <c r="AY133">
        <v>114160084</v>
      </c>
      <c r="AZ133">
        <v>71731283</v>
      </c>
    </row>
    <row r="134" spans="1:52" x14ac:dyDescent="0.2">
      <c r="A134" t="s">
        <v>232</v>
      </c>
      <c r="B134">
        <v>481290</v>
      </c>
      <c r="C134">
        <v>107582</v>
      </c>
      <c r="D134">
        <v>0</v>
      </c>
      <c r="E134">
        <v>63370326</v>
      </c>
      <c r="F134">
        <v>116.2766</v>
      </c>
      <c r="G134">
        <v>20.066800000000001</v>
      </c>
      <c r="H134">
        <v>579.44680000000005</v>
      </c>
      <c r="I134">
        <v>0</v>
      </c>
      <c r="M134" t="s">
        <v>530</v>
      </c>
      <c r="N134">
        <v>0.99696166146371701</v>
      </c>
      <c r="O134">
        <v>0.96833984554017905</v>
      </c>
      <c r="P134">
        <v>0.58039538894421772</v>
      </c>
      <c r="Q134" t="s">
        <v>622</v>
      </c>
      <c r="AX134" t="s">
        <v>232</v>
      </c>
      <c r="AY134">
        <v>115332490</v>
      </c>
      <c r="AZ134">
        <v>79178859</v>
      </c>
    </row>
    <row r="135" spans="1:52" x14ac:dyDescent="0.2">
      <c r="A135" t="s">
        <v>233</v>
      </c>
      <c r="B135">
        <v>486684</v>
      </c>
      <c r="C135">
        <v>84599</v>
      </c>
      <c r="D135">
        <v>0</v>
      </c>
      <c r="E135">
        <v>51094871</v>
      </c>
      <c r="F135">
        <v>115.396</v>
      </c>
      <c r="G135">
        <v>19.899000000000001</v>
      </c>
      <c r="H135">
        <v>579.90909999999997</v>
      </c>
      <c r="I135">
        <v>0</v>
      </c>
      <c r="M135" t="s">
        <v>531</v>
      </c>
      <c r="N135">
        <v>0.37003335916158508</v>
      </c>
      <c r="O135">
        <v>0.54293502035913144</v>
      </c>
      <c r="P135">
        <v>2.8245779627440112E-3</v>
      </c>
      <c r="Q135" t="s">
        <v>622</v>
      </c>
      <c r="AX135" t="s">
        <v>233</v>
      </c>
      <c r="AY135">
        <v>116268234</v>
      </c>
      <c r="AZ135">
        <v>55881846</v>
      </c>
    </row>
    <row r="136" spans="1:52" x14ac:dyDescent="0.2">
      <c r="A136" t="s">
        <v>234</v>
      </c>
      <c r="B136">
        <v>488113</v>
      </c>
      <c r="C136">
        <v>79147</v>
      </c>
      <c r="D136">
        <v>0</v>
      </c>
      <c r="E136">
        <v>49786946</v>
      </c>
      <c r="F136">
        <v>113.82129999999999</v>
      </c>
      <c r="G136">
        <v>19.425599999999999</v>
      </c>
      <c r="H136">
        <v>585.93349999999998</v>
      </c>
      <c r="I136">
        <v>0</v>
      </c>
      <c r="M136" t="s">
        <v>532</v>
      </c>
      <c r="N136">
        <v>2.7450585070437915E-2</v>
      </c>
      <c r="O136">
        <v>1.2988363024857057E-2</v>
      </c>
      <c r="P136">
        <v>0.35447627438273077</v>
      </c>
      <c r="Q136" t="s">
        <v>622</v>
      </c>
      <c r="AX136" t="s">
        <v>234</v>
      </c>
      <c r="AY136">
        <v>110846178</v>
      </c>
      <c r="AZ136">
        <v>61061858</v>
      </c>
    </row>
    <row r="137" spans="1:52" x14ac:dyDescent="0.2">
      <c r="A137" t="s">
        <v>235</v>
      </c>
      <c r="B137">
        <v>493241</v>
      </c>
      <c r="C137">
        <v>95709</v>
      </c>
      <c r="D137">
        <v>0</v>
      </c>
      <c r="E137">
        <v>54145254</v>
      </c>
      <c r="F137">
        <v>112.0373</v>
      </c>
      <c r="G137">
        <v>18.828900000000001</v>
      </c>
      <c r="H137">
        <v>595.02829999999994</v>
      </c>
      <c r="I137">
        <v>0</v>
      </c>
      <c r="M137" t="s">
        <v>533</v>
      </c>
      <c r="N137">
        <v>0.12701561369503625</v>
      </c>
      <c r="O137">
        <v>0.42317663698798313</v>
      </c>
      <c r="P137">
        <v>0.69780910031300913</v>
      </c>
      <c r="Q137" t="s">
        <v>622</v>
      </c>
      <c r="AX137" t="s">
        <v>235</v>
      </c>
      <c r="AY137">
        <v>109822093</v>
      </c>
      <c r="AZ137">
        <v>69491348</v>
      </c>
    </row>
    <row r="138" spans="1:52" x14ac:dyDescent="0.2">
      <c r="A138" t="s">
        <v>236</v>
      </c>
      <c r="B138">
        <v>495723</v>
      </c>
      <c r="C138">
        <v>99961</v>
      </c>
      <c r="D138">
        <v>0</v>
      </c>
      <c r="E138">
        <v>62084574</v>
      </c>
      <c r="F138">
        <v>110.5591</v>
      </c>
      <c r="G138">
        <v>18.302399999999999</v>
      </c>
      <c r="H138">
        <v>604.06780000000003</v>
      </c>
      <c r="I138">
        <v>0</v>
      </c>
      <c r="M138" t="s">
        <v>534</v>
      </c>
      <c r="N138">
        <v>0.90864500076189036</v>
      </c>
      <c r="O138">
        <v>0.99087485306362255</v>
      </c>
      <c r="P138">
        <v>0.29678226114442774</v>
      </c>
      <c r="Q138" t="s">
        <v>622</v>
      </c>
      <c r="AX138" t="s">
        <v>236</v>
      </c>
      <c r="AY138">
        <v>109656329</v>
      </c>
      <c r="AZ138">
        <v>77459458</v>
      </c>
    </row>
    <row r="139" spans="1:52" x14ac:dyDescent="0.2">
      <c r="A139" t="s">
        <v>237</v>
      </c>
      <c r="B139">
        <v>498237</v>
      </c>
      <c r="C139">
        <v>88163</v>
      </c>
      <c r="D139">
        <v>0</v>
      </c>
      <c r="E139">
        <v>56609604</v>
      </c>
      <c r="F139">
        <v>112.7043</v>
      </c>
      <c r="G139">
        <v>18.375800000000002</v>
      </c>
      <c r="H139">
        <v>613.32960000000003</v>
      </c>
      <c r="I139">
        <v>0</v>
      </c>
      <c r="M139" t="s">
        <v>535</v>
      </c>
      <c r="N139">
        <v>0.82717632438427524</v>
      </c>
      <c r="O139">
        <v>0.96926537693375647</v>
      </c>
      <c r="P139">
        <v>0.11795709994514178</v>
      </c>
      <c r="Q139" t="s">
        <v>622</v>
      </c>
      <c r="AX139" t="s">
        <v>237</v>
      </c>
      <c r="AY139">
        <v>108903555</v>
      </c>
      <c r="AZ139">
        <v>65469469</v>
      </c>
    </row>
    <row r="140" spans="1:52" x14ac:dyDescent="0.2">
      <c r="A140" t="s">
        <v>238</v>
      </c>
      <c r="B140">
        <v>498271</v>
      </c>
      <c r="C140">
        <v>89978</v>
      </c>
      <c r="D140">
        <v>0</v>
      </c>
      <c r="E140">
        <v>55233151</v>
      </c>
      <c r="F140">
        <v>114.8707</v>
      </c>
      <c r="G140">
        <v>18.827300000000001</v>
      </c>
      <c r="H140">
        <v>610.12810000000002</v>
      </c>
      <c r="I140">
        <v>0</v>
      </c>
      <c r="M140" t="s">
        <v>536</v>
      </c>
      <c r="N140">
        <v>8.5797804913495465E-2</v>
      </c>
      <c r="O140">
        <v>0.37288075939350851</v>
      </c>
      <c r="P140">
        <v>0.70405099784084302</v>
      </c>
      <c r="Q140" t="s">
        <v>622</v>
      </c>
      <c r="AX140" t="s">
        <v>238</v>
      </c>
      <c r="AY140">
        <v>105737857</v>
      </c>
      <c r="AZ140">
        <v>70664039</v>
      </c>
    </row>
    <row r="141" spans="1:52" x14ac:dyDescent="0.2">
      <c r="A141" t="s">
        <v>239</v>
      </c>
      <c r="B141">
        <v>502075</v>
      </c>
      <c r="C141">
        <v>100478</v>
      </c>
      <c r="D141">
        <v>0</v>
      </c>
      <c r="E141">
        <v>60415760</v>
      </c>
      <c r="F141">
        <v>117.5061</v>
      </c>
      <c r="G141">
        <v>18.983000000000001</v>
      </c>
      <c r="H141">
        <v>619.00549999999998</v>
      </c>
      <c r="I141">
        <v>0</v>
      </c>
      <c r="M141" t="s">
        <v>537</v>
      </c>
      <c r="N141">
        <v>1.9715277309733509E-2</v>
      </c>
      <c r="O141">
        <v>0.71066534943918747</v>
      </c>
      <c r="P141">
        <v>0.85701269596974805</v>
      </c>
      <c r="Q141" t="s">
        <v>622</v>
      </c>
      <c r="AX141" t="s">
        <v>239</v>
      </c>
      <c r="AY141">
        <v>99951870</v>
      </c>
      <c r="AZ141">
        <v>77995508</v>
      </c>
    </row>
    <row r="142" spans="1:52" x14ac:dyDescent="0.2">
      <c r="A142" t="s">
        <v>240</v>
      </c>
      <c r="B142">
        <v>502572</v>
      </c>
      <c r="C142">
        <v>99690</v>
      </c>
      <c r="D142">
        <v>0</v>
      </c>
      <c r="E142">
        <v>64415544</v>
      </c>
      <c r="F142">
        <v>118.2687</v>
      </c>
      <c r="G142">
        <v>18.904499999999999</v>
      </c>
      <c r="H142">
        <v>625.61040000000003</v>
      </c>
      <c r="I142">
        <v>0</v>
      </c>
      <c r="M142" t="s">
        <v>538</v>
      </c>
      <c r="N142">
        <v>0.8449676193923803</v>
      </c>
      <c r="O142">
        <v>0.99913684541475145</v>
      </c>
      <c r="P142">
        <v>6.0025016090399695E-2</v>
      </c>
      <c r="Q142" t="s">
        <v>622</v>
      </c>
      <c r="AX142" t="s">
        <v>240</v>
      </c>
      <c r="AY142">
        <v>95513600</v>
      </c>
      <c r="AZ142">
        <v>78569495</v>
      </c>
    </row>
    <row r="143" spans="1:52" x14ac:dyDescent="0.2">
      <c r="A143" t="s">
        <v>241</v>
      </c>
      <c r="B143">
        <v>503577</v>
      </c>
      <c r="C143">
        <v>82910</v>
      </c>
      <c r="D143">
        <v>0</v>
      </c>
      <c r="E143">
        <v>55643619</v>
      </c>
      <c r="F143">
        <v>117.4725</v>
      </c>
      <c r="G143">
        <v>18.592400000000001</v>
      </c>
      <c r="H143">
        <v>631.83029999999997</v>
      </c>
      <c r="I143">
        <v>0</v>
      </c>
      <c r="M143" t="s">
        <v>539</v>
      </c>
      <c r="N143">
        <v>7.3588272030668533E-2</v>
      </c>
      <c r="O143">
        <v>0.87417431259719136</v>
      </c>
      <c r="P143">
        <v>0.77696303353764495</v>
      </c>
      <c r="Q143" t="s">
        <v>622</v>
      </c>
      <c r="AX143" t="s">
        <v>241</v>
      </c>
      <c r="AY143">
        <v>94119339</v>
      </c>
      <c r="AZ143">
        <v>66729807</v>
      </c>
    </row>
    <row r="144" spans="1:52" x14ac:dyDescent="0.2">
      <c r="A144" t="s">
        <v>242</v>
      </c>
      <c r="B144">
        <v>502476</v>
      </c>
      <c r="C144">
        <v>87849</v>
      </c>
      <c r="D144">
        <v>0</v>
      </c>
      <c r="E144">
        <v>54747059</v>
      </c>
      <c r="F144">
        <v>116.9851</v>
      </c>
      <c r="G144">
        <v>18.447700000000001</v>
      </c>
      <c r="H144">
        <v>634.1463</v>
      </c>
      <c r="I144">
        <v>0</v>
      </c>
      <c r="M144" t="s">
        <v>540</v>
      </c>
      <c r="N144">
        <v>2.9277824737791594E-3</v>
      </c>
      <c r="O144">
        <v>0.95883132104191826</v>
      </c>
      <c r="P144">
        <v>0.85361538073994148</v>
      </c>
      <c r="Q144" t="s">
        <v>622</v>
      </c>
      <c r="AX144" t="s">
        <v>242</v>
      </c>
      <c r="AY144">
        <v>93595825</v>
      </c>
      <c r="AZ144">
        <v>68867481</v>
      </c>
    </row>
    <row r="145" spans="1:52" x14ac:dyDescent="0.2">
      <c r="A145" t="s">
        <v>243</v>
      </c>
      <c r="B145">
        <v>502889</v>
      </c>
      <c r="C145">
        <v>100957</v>
      </c>
      <c r="D145">
        <v>0</v>
      </c>
      <c r="E145">
        <v>59136539</v>
      </c>
      <c r="F145">
        <v>116.3018</v>
      </c>
      <c r="G145">
        <v>18.463999999999999</v>
      </c>
      <c r="H145">
        <v>629.88419999999996</v>
      </c>
      <c r="I145">
        <v>0</v>
      </c>
      <c r="M145" t="s">
        <v>541</v>
      </c>
      <c r="N145">
        <v>7.5598492957328817E-2</v>
      </c>
      <c r="O145">
        <v>0.98073182458764896</v>
      </c>
      <c r="P145">
        <v>0.93633837326771674</v>
      </c>
      <c r="Q145" t="s">
        <v>622</v>
      </c>
      <c r="AX145" t="s">
        <v>243</v>
      </c>
      <c r="AY145">
        <v>93925157</v>
      </c>
      <c r="AZ145">
        <v>72985345</v>
      </c>
    </row>
    <row r="146" spans="1:52" x14ac:dyDescent="0.2">
      <c r="A146" t="s">
        <v>244</v>
      </c>
      <c r="B146">
        <v>499869</v>
      </c>
      <c r="C146">
        <v>95254</v>
      </c>
      <c r="D146">
        <v>0</v>
      </c>
      <c r="E146">
        <v>62624753</v>
      </c>
      <c r="F146">
        <v>115.5669</v>
      </c>
      <c r="G146">
        <v>18.268000000000001</v>
      </c>
      <c r="H146">
        <v>632.61839999999995</v>
      </c>
      <c r="I146">
        <v>0</v>
      </c>
      <c r="M146" t="s">
        <v>542</v>
      </c>
      <c r="N146">
        <v>0.7433648562836187</v>
      </c>
      <c r="O146">
        <v>0.52859571267394079</v>
      </c>
      <c r="P146">
        <v>0.80511953344894993</v>
      </c>
      <c r="Q146" t="s">
        <v>622</v>
      </c>
      <c r="AX146" t="s">
        <v>244</v>
      </c>
      <c r="AY146">
        <v>93691679</v>
      </c>
      <c r="AZ146">
        <v>78682580</v>
      </c>
    </row>
    <row r="147" spans="1:52" x14ac:dyDescent="0.2">
      <c r="A147" t="s">
        <v>245</v>
      </c>
      <c r="B147">
        <v>496139</v>
      </c>
      <c r="C147">
        <v>77970</v>
      </c>
      <c r="D147">
        <v>0</v>
      </c>
      <c r="E147">
        <v>52778076</v>
      </c>
      <c r="F147">
        <v>114.5646</v>
      </c>
      <c r="G147">
        <v>18.089099999999998</v>
      </c>
      <c r="H147">
        <v>633.33540000000005</v>
      </c>
      <c r="I147">
        <v>0</v>
      </c>
      <c r="M147" t="s">
        <v>543</v>
      </c>
      <c r="N147">
        <v>0.84294459690323931</v>
      </c>
      <c r="O147">
        <v>0.27709051968142712</v>
      </c>
      <c r="P147">
        <v>0.894139508226652</v>
      </c>
      <c r="Q147" t="s">
        <v>622</v>
      </c>
      <c r="AX147" t="s">
        <v>245</v>
      </c>
      <c r="AY147">
        <v>92328863</v>
      </c>
      <c r="AZ147">
        <v>59525036</v>
      </c>
    </row>
    <row r="148" spans="1:52" x14ac:dyDescent="0.2">
      <c r="A148" t="s">
        <v>246</v>
      </c>
      <c r="B148">
        <v>491866</v>
      </c>
      <c r="C148">
        <v>83428</v>
      </c>
      <c r="D148">
        <v>0</v>
      </c>
      <c r="E148">
        <v>48267039</v>
      </c>
      <c r="F148">
        <v>111.92010000000001</v>
      </c>
      <c r="G148">
        <v>17.9634</v>
      </c>
      <c r="H148">
        <v>623.04470000000003</v>
      </c>
      <c r="I148">
        <v>0</v>
      </c>
      <c r="M148" t="s">
        <v>544</v>
      </c>
      <c r="N148">
        <v>7.1308241869734695E-2</v>
      </c>
      <c r="O148">
        <v>0.54834829714827804</v>
      </c>
      <c r="P148">
        <v>0.10268900044105168</v>
      </c>
      <c r="Q148" t="s">
        <v>622</v>
      </c>
      <c r="AX148" t="s">
        <v>246</v>
      </c>
      <c r="AY148">
        <v>90681695</v>
      </c>
      <c r="AZ148">
        <v>61718850</v>
      </c>
    </row>
    <row r="149" spans="1:52" x14ac:dyDescent="0.2">
      <c r="A149" t="s">
        <v>247</v>
      </c>
      <c r="B149">
        <v>2521738</v>
      </c>
      <c r="C149">
        <v>126348</v>
      </c>
      <c r="D149">
        <v>0</v>
      </c>
      <c r="E149">
        <v>165433056</v>
      </c>
      <c r="F149">
        <v>65.602800000000002</v>
      </c>
      <c r="G149">
        <v>5.0103999999999997</v>
      </c>
      <c r="H149">
        <v>1309.3444999999999</v>
      </c>
      <c r="I149">
        <v>0</v>
      </c>
      <c r="M149" t="s">
        <v>545</v>
      </c>
      <c r="N149">
        <v>8.4568065176274854E-2</v>
      </c>
      <c r="O149">
        <v>0.80180939267075113</v>
      </c>
      <c r="P149">
        <v>0.36284652452106975</v>
      </c>
      <c r="Q149" t="s">
        <v>622</v>
      </c>
      <c r="AX149" t="s">
        <v>247</v>
      </c>
      <c r="AY149">
        <v>305654036</v>
      </c>
      <c r="AZ149">
        <v>198881435</v>
      </c>
    </row>
    <row r="150" spans="1:52" x14ac:dyDescent="0.2">
      <c r="A150" t="s">
        <v>248</v>
      </c>
      <c r="B150">
        <v>2528646</v>
      </c>
      <c r="C150">
        <v>131344</v>
      </c>
      <c r="D150">
        <v>0</v>
      </c>
      <c r="E150">
        <v>148791872</v>
      </c>
      <c r="F150">
        <v>62.218000000000004</v>
      </c>
      <c r="G150">
        <v>5.1024000000000003</v>
      </c>
      <c r="H150">
        <v>1219.3818000000001</v>
      </c>
      <c r="I150">
        <v>0</v>
      </c>
      <c r="M150" t="s">
        <v>546</v>
      </c>
      <c r="N150">
        <v>0.96738105110242911</v>
      </c>
      <c r="O150">
        <v>0.99118972810421602</v>
      </c>
      <c r="P150">
        <v>0.34182999211740545</v>
      </c>
      <c r="Q150" t="s">
        <v>622</v>
      </c>
      <c r="AX150" t="s">
        <v>248</v>
      </c>
      <c r="AY150">
        <v>308054591</v>
      </c>
      <c r="AZ150">
        <v>175952261</v>
      </c>
    </row>
    <row r="151" spans="1:52" x14ac:dyDescent="0.2">
      <c r="A151" t="s">
        <v>249</v>
      </c>
      <c r="B151">
        <v>2538672</v>
      </c>
      <c r="C151">
        <v>131459</v>
      </c>
      <c r="D151">
        <v>0</v>
      </c>
      <c r="E151">
        <v>156834695</v>
      </c>
      <c r="F151">
        <v>62.070900000000002</v>
      </c>
      <c r="G151">
        <v>5.1277999999999997</v>
      </c>
      <c r="H151">
        <v>1210.4802999999999</v>
      </c>
      <c r="I151">
        <v>0</v>
      </c>
      <c r="M151" t="s">
        <v>547</v>
      </c>
      <c r="N151">
        <v>0.67412798681106045</v>
      </c>
      <c r="O151">
        <v>0.7364329789160734</v>
      </c>
      <c r="P151">
        <v>6.2095230806282924E-2</v>
      </c>
      <c r="Q151" t="s">
        <v>622</v>
      </c>
      <c r="AX151" t="s">
        <v>249</v>
      </c>
      <c r="AY151">
        <v>312284348</v>
      </c>
      <c r="AZ151">
        <v>184903299</v>
      </c>
    </row>
    <row r="152" spans="1:52" x14ac:dyDescent="0.2">
      <c r="A152" t="s">
        <v>250</v>
      </c>
      <c r="B152">
        <v>2547342</v>
      </c>
      <c r="C152">
        <v>112403</v>
      </c>
      <c r="D152">
        <v>0</v>
      </c>
      <c r="E152">
        <v>152635725</v>
      </c>
      <c r="F152">
        <v>61.530299999999997</v>
      </c>
      <c r="G152">
        <v>4.9480000000000004</v>
      </c>
      <c r="H152">
        <v>1243.5257999999999</v>
      </c>
      <c r="I152">
        <v>0</v>
      </c>
      <c r="M152" t="s">
        <v>548</v>
      </c>
      <c r="N152">
        <v>5.2212965101246178E-2</v>
      </c>
      <c r="O152">
        <v>0.36424262774841559</v>
      </c>
      <c r="P152">
        <v>0.52539675180243661</v>
      </c>
      <c r="Q152" t="s">
        <v>622</v>
      </c>
      <c r="AX152" t="s">
        <v>250</v>
      </c>
      <c r="AY152">
        <v>313127084</v>
      </c>
      <c r="AZ152">
        <v>185890747</v>
      </c>
    </row>
    <row r="153" spans="1:52" x14ac:dyDescent="0.2">
      <c r="A153" t="s">
        <v>251</v>
      </c>
      <c r="B153">
        <v>2549029</v>
      </c>
      <c r="C153">
        <v>116184</v>
      </c>
      <c r="D153">
        <v>0</v>
      </c>
      <c r="E153">
        <v>166620714</v>
      </c>
      <c r="F153">
        <v>61.481900000000003</v>
      </c>
      <c r="G153">
        <v>4.8348000000000004</v>
      </c>
      <c r="H153">
        <v>1271.6641</v>
      </c>
      <c r="I153">
        <v>0</v>
      </c>
      <c r="M153" t="s">
        <v>549</v>
      </c>
      <c r="N153">
        <v>6.6430420829034942E-2</v>
      </c>
      <c r="O153">
        <v>0.61560773567127647</v>
      </c>
      <c r="P153">
        <v>0.75598747158946888</v>
      </c>
      <c r="Q153" t="s">
        <v>622</v>
      </c>
      <c r="AX153" t="s">
        <v>251</v>
      </c>
      <c r="AY153">
        <v>310261682</v>
      </c>
      <c r="AZ153">
        <v>195209094</v>
      </c>
    </row>
    <row r="154" spans="1:52" x14ac:dyDescent="0.2">
      <c r="A154" t="s">
        <v>252</v>
      </c>
      <c r="B154">
        <v>2569399</v>
      </c>
      <c r="C154">
        <v>120526</v>
      </c>
      <c r="D154">
        <v>0</v>
      </c>
      <c r="E154">
        <v>152358128</v>
      </c>
      <c r="F154">
        <v>61.585900000000002</v>
      </c>
      <c r="G154">
        <v>4.7093999999999996</v>
      </c>
      <c r="H154">
        <v>1307.7109</v>
      </c>
      <c r="I154">
        <v>0</v>
      </c>
      <c r="M154" t="s">
        <v>550</v>
      </c>
      <c r="N154">
        <v>0.93879600173054545</v>
      </c>
      <c r="O154">
        <v>0.95498807050159784</v>
      </c>
      <c r="P154">
        <v>0.83874038021265518</v>
      </c>
      <c r="Q154" t="s">
        <v>622</v>
      </c>
      <c r="AX154" t="s">
        <v>252</v>
      </c>
      <c r="AY154">
        <v>312417618</v>
      </c>
      <c r="AZ154">
        <v>182669772</v>
      </c>
    </row>
    <row r="155" spans="1:52" x14ac:dyDescent="0.2">
      <c r="A155" t="s">
        <v>253</v>
      </c>
      <c r="B155">
        <v>2588667</v>
      </c>
      <c r="C155">
        <v>127996</v>
      </c>
      <c r="D155">
        <v>0</v>
      </c>
      <c r="E155">
        <v>160544766</v>
      </c>
      <c r="F155">
        <v>61.647399999999998</v>
      </c>
      <c r="G155">
        <v>4.6527000000000003</v>
      </c>
      <c r="H155">
        <v>1324.9788000000001</v>
      </c>
      <c r="I155">
        <v>0</v>
      </c>
      <c r="M155" t="s">
        <v>551</v>
      </c>
      <c r="N155">
        <v>8.6331475110845574E-3</v>
      </c>
      <c r="O155">
        <v>0.34946596052817369</v>
      </c>
      <c r="P155">
        <v>0.89670701308344658</v>
      </c>
      <c r="Q155" t="s">
        <v>622</v>
      </c>
      <c r="AX155" t="s">
        <v>253</v>
      </c>
      <c r="AY155">
        <v>316167126</v>
      </c>
      <c r="AZ155">
        <v>198506971</v>
      </c>
    </row>
    <row r="156" spans="1:52" x14ac:dyDescent="0.2">
      <c r="A156" t="s">
        <v>254</v>
      </c>
      <c r="B156">
        <v>2601574</v>
      </c>
      <c r="C156">
        <v>107202</v>
      </c>
      <c r="D156">
        <v>0</v>
      </c>
      <c r="E156">
        <v>155996229</v>
      </c>
      <c r="F156">
        <v>61.649099999999997</v>
      </c>
      <c r="G156">
        <v>4.5777999999999999</v>
      </c>
      <c r="H156">
        <v>1346.7028</v>
      </c>
      <c r="I156">
        <v>0</v>
      </c>
      <c r="M156" t="s">
        <v>552</v>
      </c>
      <c r="N156">
        <v>0.22293298711107271</v>
      </c>
      <c r="O156">
        <v>0.55755504928094368</v>
      </c>
      <c r="P156">
        <v>0.92320690271961803</v>
      </c>
      <c r="Q156" t="s">
        <v>622</v>
      </c>
      <c r="AX156" t="s">
        <v>254</v>
      </c>
      <c r="AY156">
        <v>320482980</v>
      </c>
      <c r="AZ156">
        <v>185874114</v>
      </c>
    </row>
    <row r="157" spans="1:52" x14ac:dyDescent="0.2">
      <c r="A157" t="s">
        <v>255</v>
      </c>
      <c r="B157">
        <v>2605549</v>
      </c>
      <c r="C157">
        <v>113784</v>
      </c>
      <c r="D157">
        <v>0</v>
      </c>
      <c r="E157">
        <v>188535034</v>
      </c>
      <c r="F157">
        <v>63.427100000000003</v>
      </c>
      <c r="G157">
        <v>4.5297000000000001</v>
      </c>
      <c r="H157">
        <v>1400.2619</v>
      </c>
      <c r="I157">
        <v>0</v>
      </c>
      <c r="M157" t="s">
        <v>553</v>
      </c>
      <c r="N157">
        <v>0.43692503253182469</v>
      </c>
      <c r="O157">
        <v>0.80583562351733529</v>
      </c>
      <c r="P157">
        <v>0.95175572499605743</v>
      </c>
      <c r="Q157" t="s">
        <v>622</v>
      </c>
      <c r="AX157" t="s">
        <v>255</v>
      </c>
      <c r="AY157">
        <v>312732272</v>
      </c>
      <c r="AZ157">
        <v>221529349</v>
      </c>
    </row>
    <row r="158" spans="1:52" x14ac:dyDescent="0.2">
      <c r="A158" t="s">
        <v>256</v>
      </c>
      <c r="B158">
        <v>2631358</v>
      </c>
      <c r="C158">
        <v>114640</v>
      </c>
      <c r="D158">
        <v>0</v>
      </c>
      <c r="E158">
        <v>158599033</v>
      </c>
      <c r="F158">
        <v>63.648800000000001</v>
      </c>
      <c r="G158">
        <v>4.4462999999999999</v>
      </c>
      <c r="H158">
        <v>1431.5003999999999</v>
      </c>
      <c r="I158">
        <v>0</v>
      </c>
      <c r="M158" t="s">
        <v>554</v>
      </c>
      <c r="N158">
        <v>0.96388403910750742</v>
      </c>
      <c r="O158">
        <v>0.95287270559425064</v>
      </c>
      <c r="P158">
        <v>0.91593637824242713</v>
      </c>
      <c r="Q158" t="s">
        <v>622</v>
      </c>
      <c r="AX158" t="s">
        <v>256</v>
      </c>
      <c r="AY158">
        <v>317694788</v>
      </c>
      <c r="AZ158">
        <v>196469913</v>
      </c>
    </row>
    <row r="159" spans="1:52" x14ac:dyDescent="0.2">
      <c r="A159" t="s">
        <v>257</v>
      </c>
      <c r="B159">
        <v>2650638</v>
      </c>
      <c r="C159">
        <v>120912</v>
      </c>
      <c r="D159">
        <v>0</v>
      </c>
      <c r="E159">
        <v>170275341</v>
      </c>
      <c r="F159">
        <v>64.200400000000002</v>
      </c>
      <c r="G159">
        <v>4.3525</v>
      </c>
      <c r="H159">
        <v>1475.0264999999999</v>
      </c>
      <c r="I159">
        <v>0</v>
      </c>
      <c r="M159" t="s">
        <v>555</v>
      </c>
      <c r="N159">
        <v>6.3777887040029152E-2</v>
      </c>
      <c r="O159">
        <v>0.73450557650730564</v>
      </c>
      <c r="P159">
        <v>0.98533858447921785</v>
      </c>
      <c r="Q159" t="s">
        <v>622</v>
      </c>
      <c r="AX159" t="s">
        <v>257</v>
      </c>
      <c r="AY159">
        <v>323940555</v>
      </c>
      <c r="AZ159">
        <v>195723411</v>
      </c>
    </row>
    <row r="160" spans="1:52" x14ac:dyDescent="0.2">
      <c r="A160" t="s">
        <v>258</v>
      </c>
      <c r="B160">
        <v>2664166</v>
      </c>
      <c r="C160">
        <v>103424</v>
      </c>
      <c r="D160">
        <v>0</v>
      </c>
      <c r="E160">
        <v>160288309</v>
      </c>
      <c r="F160">
        <v>64.226299999999995</v>
      </c>
      <c r="G160">
        <v>4.2908999999999997</v>
      </c>
      <c r="H160">
        <v>1496.8145</v>
      </c>
      <c r="I160">
        <v>0</v>
      </c>
      <c r="M160" t="s">
        <v>556</v>
      </c>
      <c r="N160">
        <v>0.41419918195223188</v>
      </c>
      <c r="O160">
        <v>0.51603759301569874</v>
      </c>
      <c r="P160">
        <v>0.9856727084314808</v>
      </c>
      <c r="Q160" t="s">
        <v>622</v>
      </c>
      <c r="AX160" t="s">
        <v>258</v>
      </c>
      <c r="AY160">
        <v>326683182</v>
      </c>
      <c r="AZ160">
        <v>193540744</v>
      </c>
    </row>
    <row r="161" spans="1:52" x14ac:dyDescent="0.2">
      <c r="A161" t="s">
        <v>259</v>
      </c>
      <c r="B161">
        <v>2674629</v>
      </c>
      <c r="C161">
        <v>107361</v>
      </c>
      <c r="D161">
        <v>0</v>
      </c>
      <c r="E161">
        <v>165049449</v>
      </c>
      <c r="F161">
        <v>61.597299999999997</v>
      </c>
      <c r="G161">
        <v>4.2024999999999997</v>
      </c>
      <c r="H161">
        <v>1465.7357999999999</v>
      </c>
      <c r="I161">
        <v>0</v>
      </c>
      <c r="M161" t="s">
        <v>557</v>
      </c>
      <c r="N161">
        <v>0.55831882151527712</v>
      </c>
      <c r="O161">
        <v>0.79198970117523493</v>
      </c>
      <c r="P161">
        <v>0.97428157438755636</v>
      </c>
      <c r="Q161" t="s">
        <v>622</v>
      </c>
      <c r="AX161" t="s">
        <v>259</v>
      </c>
      <c r="AY161">
        <v>325885638</v>
      </c>
      <c r="AZ161">
        <v>204734301</v>
      </c>
    </row>
    <row r="162" spans="1:52" x14ac:dyDescent="0.2">
      <c r="A162" t="s">
        <v>260</v>
      </c>
      <c r="B162">
        <v>2706692</v>
      </c>
      <c r="C162">
        <v>109570</v>
      </c>
      <c r="D162">
        <v>0</v>
      </c>
      <c r="E162">
        <v>158760575</v>
      </c>
      <c r="F162">
        <v>61.178600000000003</v>
      </c>
      <c r="G162">
        <v>4.1254999999999997</v>
      </c>
      <c r="H162">
        <v>1482.9427000000001</v>
      </c>
      <c r="I162">
        <v>0</v>
      </c>
      <c r="M162" t="s">
        <v>558</v>
      </c>
      <c r="N162">
        <v>0.45401555261338694</v>
      </c>
      <c r="O162">
        <v>0.80905170808725246</v>
      </c>
      <c r="P162">
        <v>0.96915070937412828</v>
      </c>
      <c r="Q162">
        <v>0.81390657259016175</v>
      </c>
      <c r="AX162" t="s">
        <v>260</v>
      </c>
      <c r="AY162">
        <v>324719220</v>
      </c>
      <c r="AZ162">
        <v>200810167</v>
      </c>
    </row>
    <row r="163" spans="1:52" x14ac:dyDescent="0.2">
      <c r="A163" t="s">
        <v>261</v>
      </c>
      <c r="B163">
        <v>2727391</v>
      </c>
      <c r="C163">
        <v>117417</v>
      </c>
      <c r="D163">
        <v>0</v>
      </c>
      <c r="E163">
        <v>169029462</v>
      </c>
      <c r="F163">
        <v>60.627000000000002</v>
      </c>
      <c r="G163">
        <v>4.0636000000000001</v>
      </c>
      <c r="H163">
        <v>1491.9359999999999</v>
      </c>
      <c r="I163">
        <v>0</v>
      </c>
      <c r="M163" t="s">
        <v>559</v>
      </c>
      <c r="N163">
        <v>0.64756234107766952</v>
      </c>
      <c r="O163">
        <v>0.91706058480826946</v>
      </c>
      <c r="P163">
        <v>0.98603662165039307</v>
      </c>
      <c r="Q163">
        <v>0.80721615006400549</v>
      </c>
      <c r="AX163" t="s">
        <v>261</v>
      </c>
      <c r="AY163">
        <v>323132290</v>
      </c>
      <c r="AZ163">
        <v>203049028</v>
      </c>
    </row>
    <row r="164" spans="1:52" x14ac:dyDescent="0.2">
      <c r="A164" t="s">
        <v>262</v>
      </c>
      <c r="B164">
        <v>2732380</v>
      </c>
      <c r="C164">
        <v>104459</v>
      </c>
      <c r="D164">
        <v>0</v>
      </c>
      <c r="E164">
        <v>186643853</v>
      </c>
      <c r="F164">
        <v>62.676699999999997</v>
      </c>
      <c r="G164">
        <v>4.0476000000000001</v>
      </c>
      <c r="H164">
        <v>1548.4788000000001</v>
      </c>
      <c r="I164">
        <v>0</v>
      </c>
      <c r="M164" t="s">
        <v>560</v>
      </c>
      <c r="N164">
        <v>0.66172916873392895</v>
      </c>
      <c r="O164">
        <v>0.95378656610292856</v>
      </c>
      <c r="P164">
        <v>0.99275107639265803</v>
      </c>
      <c r="Q164">
        <v>0.82504437575726164</v>
      </c>
      <c r="AX164" t="s">
        <v>262</v>
      </c>
      <c r="AY164">
        <v>320682608</v>
      </c>
      <c r="AZ164">
        <v>222126996</v>
      </c>
    </row>
    <row r="165" spans="1:52" x14ac:dyDescent="0.2">
      <c r="A165" t="s">
        <v>263</v>
      </c>
      <c r="B165">
        <v>2744365</v>
      </c>
      <c r="C165">
        <v>109379</v>
      </c>
      <c r="D165">
        <v>0</v>
      </c>
      <c r="E165">
        <v>193398650</v>
      </c>
      <c r="F165">
        <v>64.874300000000005</v>
      </c>
      <c r="G165">
        <v>4.0403000000000002</v>
      </c>
      <c r="H165">
        <v>1605.6995999999999</v>
      </c>
      <c r="I165">
        <v>0</v>
      </c>
      <c r="M165" t="s">
        <v>561</v>
      </c>
      <c r="N165">
        <v>5.9778018083840824E-3</v>
      </c>
      <c r="O165">
        <v>0.97510745154553691</v>
      </c>
      <c r="P165">
        <v>0.92083701118276673</v>
      </c>
      <c r="Q165">
        <v>0.85543656620267927</v>
      </c>
      <c r="AX165" t="s">
        <v>263</v>
      </c>
      <c r="AY165">
        <v>316996574</v>
      </c>
      <c r="AZ165">
        <v>234193090</v>
      </c>
    </row>
    <row r="166" spans="1:52" x14ac:dyDescent="0.2">
      <c r="A166" t="s">
        <v>264</v>
      </c>
      <c r="B166">
        <v>2760474</v>
      </c>
      <c r="C166">
        <v>109762</v>
      </c>
      <c r="D166">
        <v>0</v>
      </c>
      <c r="E166">
        <v>173885506</v>
      </c>
      <c r="F166">
        <v>65.935500000000005</v>
      </c>
      <c r="G166">
        <v>4.0221999999999998</v>
      </c>
      <c r="H166">
        <v>1639.2962</v>
      </c>
      <c r="I166">
        <v>0</v>
      </c>
      <c r="M166" t="s">
        <v>562</v>
      </c>
      <c r="N166">
        <v>1.3662616810307041E-2</v>
      </c>
      <c r="O166">
        <v>1.0384661597350006E-2</v>
      </c>
      <c r="P166">
        <v>5.957011896630314E-2</v>
      </c>
      <c r="Q166" t="s">
        <v>622</v>
      </c>
      <c r="AX166" t="s">
        <v>264</v>
      </c>
      <c r="AY166">
        <v>314962878</v>
      </c>
      <c r="AZ166">
        <v>221474928</v>
      </c>
    </row>
    <row r="167" spans="1:52" x14ac:dyDescent="0.2">
      <c r="A167" t="s">
        <v>265</v>
      </c>
      <c r="B167">
        <v>2780480</v>
      </c>
      <c r="C167">
        <v>108686</v>
      </c>
      <c r="D167">
        <v>0</v>
      </c>
      <c r="E167">
        <v>174278474</v>
      </c>
      <c r="F167">
        <v>66.094200000000001</v>
      </c>
      <c r="G167">
        <v>3.9236</v>
      </c>
      <c r="H167">
        <v>1684.5479</v>
      </c>
      <c r="I167">
        <v>0</v>
      </c>
      <c r="M167" t="s">
        <v>563</v>
      </c>
      <c r="N167">
        <v>0.54447856060757971</v>
      </c>
      <c r="O167">
        <v>0.7990044214443871</v>
      </c>
      <c r="P167">
        <v>0.66550399774117885</v>
      </c>
      <c r="Q167" t="s">
        <v>622</v>
      </c>
      <c r="AX167" t="s">
        <v>265</v>
      </c>
      <c r="AY167">
        <v>309341668</v>
      </c>
      <c r="AZ167">
        <v>206942284</v>
      </c>
    </row>
    <row r="168" spans="1:52" x14ac:dyDescent="0.2">
      <c r="A168" t="s">
        <v>266</v>
      </c>
      <c r="B168">
        <v>2787523</v>
      </c>
      <c r="C168">
        <v>95358</v>
      </c>
      <c r="D168">
        <v>0</v>
      </c>
      <c r="E168">
        <v>164956930</v>
      </c>
      <c r="F168">
        <v>63.8065</v>
      </c>
      <c r="G168">
        <v>3.8218000000000001</v>
      </c>
      <c r="H168">
        <v>1669.5288</v>
      </c>
      <c r="I168">
        <v>0</v>
      </c>
      <c r="M168" t="s">
        <v>564</v>
      </c>
      <c r="N168">
        <v>5.3832638159361963E-2</v>
      </c>
      <c r="O168">
        <v>0.72955062024526762</v>
      </c>
      <c r="P168">
        <v>0.7826032051814299</v>
      </c>
      <c r="Q168" t="s">
        <v>622</v>
      </c>
      <c r="AX168" t="s">
        <v>266</v>
      </c>
      <c r="AY168">
        <v>302950338</v>
      </c>
      <c r="AZ168">
        <v>210430281</v>
      </c>
    </row>
    <row r="169" spans="1:52" x14ac:dyDescent="0.2">
      <c r="A169" t="s">
        <v>267</v>
      </c>
      <c r="B169">
        <v>2782843</v>
      </c>
      <c r="C169">
        <v>98418</v>
      </c>
      <c r="D169">
        <v>0</v>
      </c>
      <c r="E169">
        <v>157836365</v>
      </c>
      <c r="F169">
        <v>60.384999999999998</v>
      </c>
      <c r="G169">
        <v>3.7099000000000002</v>
      </c>
      <c r="H169">
        <v>1627.6521</v>
      </c>
      <c r="I169">
        <v>0</v>
      </c>
      <c r="M169" t="s">
        <v>565</v>
      </c>
      <c r="N169">
        <v>3.9312704136804958E-3</v>
      </c>
      <c r="O169">
        <v>0.14133161251101622</v>
      </c>
      <c r="P169">
        <v>7.7112776838565156E-2</v>
      </c>
      <c r="Q169" t="s">
        <v>622</v>
      </c>
      <c r="AX169" t="s">
        <v>267</v>
      </c>
      <c r="AY169">
        <v>299554289</v>
      </c>
      <c r="AZ169">
        <v>197404887</v>
      </c>
    </row>
    <row r="170" spans="1:52" x14ac:dyDescent="0.2">
      <c r="A170" t="s">
        <v>268</v>
      </c>
      <c r="B170">
        <v>22435562</v>
      </c>
      <c r="C170">
        <v>1515377</v>
      </c>
      <c r="D170">
        <v>0</v>
      </c>
      <c r="E170">
        <v>1317123219</v>
      </c>
      <c r="F170">
        <v>58.706899999999997</v>
      </c>
      <c r="G170">
        <v>6.7544000000000004</v>
      </c>
      <c r="H170">
        <v>869.17200000000003</v>
      </c>
      <c r="I170">
        <v>0</v>
      </c>
      <c r="M170" t="s">
        <v>566</v>
      </c>
      <c r="N170">
        <v>9.7174224838158304E-4</v>
      </c>
      <c r="O170">
        <v>0.99571241853865633</v>
      </c>
      <c r="P170">
        <v>0.95837989095492049</v>
      </c>
      <c r="Q170">
        <v>0.99351062201552187</v>
      </c>
      <c r="AX170" t="s">
        <v>268</v>
      </c>
      <c r="AY170">
        <v>3156529483</v>
      </c>
      <c r="AZ170">
        <v>1723742350</v>
      </c>
    </row>
    <row r="171" spans="1:52" x14ac:dyDescent="0.2">
      <c r="A171" t="s">
        <v>269</v>
      </c>
      <c r="B171">
        <v>22716149</v>
      </c>
      <c r="C171">
        <v>1781644</v>
      </c>
      <c r="D171">
        <v>0</v>
      </c>
      <c r="E171">
        <v>1611687499</v>
      </c>
      <c r="F171">
        <v>64.866</v>
      </c>
      <c r="G171">
        <v>7.3021000000000003</v>
      </c>
      <c r="H171">
        <v>888.32029999999997</v>
      </c>
      <c r="I171">
        <v>0</v>
      </c>
      <c r="M171" t="s">
        <v>567</v>
      </c>
      <c r="N171">
        <v>0.29690075924580922</v>
      </c>
      <c r="O171">
        <v>0.98664192857722255</v>
      </c>
      <c r="P171">
        <v>0.90587110440550023</v>
      </c>
      <c r="Q171">
        <v>0.95903769540712291</v>
      </c>
      <c r="AX171" t="s">
        <v>269</v>
      </c>
      <c r="AY171">
        <v>3220479834</v>
      </c>
      <c r="AZ171">
        <v>2126234846</v>
      </c>
    </row>
    <row r="172" spans="1:52" x14ac:dyDescent="0.2">
      <c r="A172" t="s">
        <v>270</v>
      </c>
      <c r="B172">
        <v>22812687</v>
      </c>
      <c r="C172">
        <v>1830437</v>
      </c>
      <c r="D172">
        <v>0</v>
      </c>
      <c r="E172">
        <v>1779971125</v>
      </c>
      <c r="F172">
        <v>69.283100000000005</v>
      </c>
      <c r="G172">
        <v>7.5442999999999998</v>
      </c>
      <c r="H172">
        <v>918.34630000000004</v>
      </c>
      <c r="I172">
        <v>0</v>
      </c>
      <c r="M172" t="s">
        <v>568</v>
      </c>
      <c r="N172">
        <v>0.21006725946263374</v>
      </c>
      <c r="O172">
        <v>0.96252080540251439</v>
      </c>
      <c r="P172">
        <v>0.95114685572276414</v>
      </c>
      <c r="Q172">
        <v>0.94686066936325486</v>
      </c>
      <c r="AX172" t="s">
        <v>270</v>
      </c>
      <c r="AY172">
        <v>3248278353</v>
      </c>
      <c r="AZ172">
        <v>2285251591</v>
      </c>
    </row>
    <row r="173" spans="1:52" x14ac:dyDescent="0.2">
      <c r="A173" t="s">
        <v>271</v>
      </c>
      <c r="B173">
        <v>22842404</v>
      </c>
      <c r="C173">
        <v>1576866</v>
      </c>
      <c r="D173">
        <v>0</v>
      </c>
      <c r="E173">
        <v>1688281653</v>
      </c>
      <c r="F173">
        <v>70.447000000000003</v>
      </c>
      <c r="G173">
        <v>7.3830999999999998</v>
      </c>
      <c r="H173">
        <v>954.16980000000001</v>
      </c>
      <c r="I173">
        <v>0</v>
      </c>
      <c r="M173" t="s">
        <v>569</v>
      </c>
      <c r="N173">
        <v>6.5480271925446296E-2</v>
      </c>
      <c r="O173">
        <v>0.93971212704003482</v>
      </c>
      <c r="P173">
        <v>0.96997760263144994</v>
      </c>
      <c r="Q173">
        <v>0.96843786448157565</v>
      </c>
      <c r="AX173" t="s">
        <v>271</v>
      </c>
      <c r="AY173">
        <v>3241187435</v>
      </c>
      <c r="AZ173">
        <v>1972724622</v>
      </c>
    </row>
    <row r="174" spans="1:52" x14ac:dyDescent="0.2">
      <c r="A174" t="s">
        <v>272</v>
      </c>
      <c r="B174">
        <v>22877878</v>
      </c>
      <c r="C174">
        <v>1505685</v>
      </c>
      <c r="D174">
        <v>0</v>
      </c>
      <c r="E174">
        <v>1345541739</v>
      </c>
      <c r="F174">
        <v>70.416899999999998</v>
      </c>
      <c r="G174">
        <v>7.3367000000000004</v>
      </c>
      <c r="H174">
        <v>959.79610000000002</v>
      </c>
      <c r="I174">
        <v>0</v>
      </c>
      <c r="M174" t="s">
        <v>570</v>
      </c>
      <c r="N174">
        <v>0.86490516334665402</v>
      </c>
      <c r="O174">
        <v>0.96148985269715859</v>
      </c>
      <c r="P174">
        <v>6.6631644564073256E-4</v>
      </c>
      <c r="Q174">
        <v>0.9747369597672656</v>
      </c>
      <c r="AX174" t="s">
        <v>272</v>
      </c>
      <c r="AY174">
        <v>3234421359</v>
      </c>
      <c r="AZ174">
        <v>1745346141</v>
      </c>
    </row>
    <row r="175" spans="1:52" x14ac:dyDescent="0.2">
      <c r="A175" t="s">
        <v>273</v>
      </c>
      <c r="B175">
        <v>23071084</v>
      </c>
      <c r="C175">
        <v>1718369</v>
      </c>
      <c r="D175">
        <v>0</v>
      </c>
      <c r="E175">
        <v>1539741461</v>
      </c>
      <c r="F175">
        <v>69.358699999999999</v>
      </c>
      <c r="G175">
        <v>7.2392000000000003</v>
      </c>
      <c r="H175">
        <v>958.10500000000002</v>
      </c>
      <c r="I175">
        <v>0</v>
      </c>
      <c r="M175" t="s">
        <v>571</v>
      </c>
      <c r="N175">
        <v>2.3093034029288771E-2</v>
      </c>
      <c r="O175">
        <v>0.95624571850893492</v>
      </c>
      <c r="P175">
        <v>0.80896198551751641</v>
      </c>
      <c r="Q175">
        <v>0.93882086545705434</v>
      </c>
      <c r="AX175" t="s">
        <v>273</v>
      </c>
      <c r="AY175">
        <v>3234024390</v>
      </c>
      <c r="AZ175">
        <v>2017989293</v>
      </c>
    </row>
    <row r="176" spans="1:52" x14ac:dyDescent="0.2">
      <c r="A176" t="s">
        <v>274</v>
      </c>
      <c r="B176">
        <v>23220206</v>
      </c>
      <c r="C176">
        <v>1723585</v>
      </c>
      <c r="D176">
        <v>0</v>
      </c>
      <c r="E176">
        <v>1793939155</v>
      </c>
      <c r="F176">
        <v>69.203299999999999</v>
      </c>
      <c r="G176">
        <v>7.0910000000000002</v>
      </c>
      <c r="H176">
        <v>975.93669999999997</v>
      </c>
      <c r="I176">
        <v>0</v>
      </c>
      <c r="M176" t="s">
        <v>572</v>
      </c>
      <c r="N176">
        <v>0.1887500719263738</v>
      </c>
      <c r="O176">
        <v>0.96470307003226374</v>
      </c>
      <c r="P176">
        <v>0.9340620136757809</v>
      </c>
      <c r="Q176">
        <v>0.97087380616788321</v>
      </c>
      <c r="AX176" t="s">
        <v>274</v>
      </c>
      <c r="AY176">
        <v>3239843333</v>
      </c>
      <c r="AZ176">
        <v>2958990103</v>
      </c>
    </row>
    <row r="177" spans="1:52" x14ac:dyDescent="0.2">
      <c r="A177" t="s">
        <v>275</v>
      </c>
      <c r="B177">
        <v>23296113</v>
      </c>
      <c r="C177">
        <v>1673184</v>
      </c>
      <c r="D177">
        <v>0</v>
      </c>
      <c r="E177">
        <v>2574920020</v>
      </c>
      <c r="F177">
        <v>78.452600000000004</v>
      </c>
      <c r="G177">
        <v>7.1603000000000003</v>
      </c>
      <c r="H177">
        <v>1095.6557</v>
      </c>
      <c r="I177">
        <v>0</v>
      </c>
      <c r="M177" t="s">
        <v>573</v>
      </c>
      <c r="N177">
        <v>1.6572551820781272E-3</v>
      </c>
      <c r="O177">
        <v>0.96227355168680029</v>
      </c>
      <c r="P177">
        <v>0.9636168679690762</v>
      </c>
      <c r="Q177">
        <v>0.97369149481228923</v>
      </c>
      <c r="AX177" t="s">
        <v>275</v>
      </c>
      <c r="AY177">
        <v>3244573641</v>
      </c>
      <c r="AZ177">
        <v>2556038938</v>
      </c>
    </row>
    <row r="178" spans="1:52" x14ac:dyDescent="0.2">
      <c r="A178" t="s">
        <v>276</v>
      </c>
      <c r="B178">
        <v>23285873</v>
      </c>
      <c r="C178">
        <v>1449157</v>
      </c>
      <c r="D178">
        <v>0</v>
      </c>
      <c r="E178">
        <v>1499994857</v>
      </c>
      <c r="F178">
        <v>79.771000000000001</v>
      </c>
      <c r="G178">
        <v>7.0679999999999996</v>
      </c>
      <c r="H178">
        <v>1128.6201000000001</v>
      </c>
      <c r="I178">
        <v>0</v>
      </c>
      <c r="M178" t="s">
        <v>574</v>
      </c>
      <c r="N178">
        <v>0.71840533946558638</v>
      </c>
      <c r="O178">
        <v>0.99768096347972468</v>
      </c>
      <c r="P178">
        <v>0.97221940706918786</v>
      </c>
      <c r="Q178">
        <v>0.97500519040806288</v>
      </c>
      <c r="AX178" t="s">
        <v>276</v>
      </c>
      <c r="AY178">
        <v>3116785962</v>
      </c>
      <c r="AZ178">
        <v>1743977804</v>
      </c>
    </row>
    <row r="179" spans="1:52" x14ac:dyDescent="0.2">
      <c r="A179" t="s">
        <v>277</v>
      </c>
      <c r="B179">
        <v>23519849</v>
      </c>
      <c r="C179">
        <v>1690652</v>
      </c>
      <c r="D179">
        <v>0</v>
      </c>
      <c r="E179">
        <v>1805248873</v>
      </c>
      <c r="F179">
        <v>82.232500000000002</v>
      </c>
      <c r="G179">
        <v>7.0042999999999997</v>
      </c>
      <c r="H179">
        <v>1174.0245</v>
      </c>
      <c r="I179">
        <v>0</v>
      </c>
      <c r="M179" t="s">
        <v>575</v>
      </c>
      <c r="N179">
        <v>0.95587994994335412</v>
      </c>
      <c r="O179">
        <v>0.99436029080074306</v>
      </c>
      <c r="P179">
        <v>0.99521590250735037</v>
      </c>
      <c r="Q179">
        <v>0.98629453345081719</v>
      </c>
      <c r="AX179" t="s">
        <v>277</v>
      </c>
      <c r="AY179">
        <v>3120988172</v>
      </c>
      <c r="AZ179">
        <v>2369918865</v>
      </c>
    </row>
    <row r="180" spans="1:52" x14ac:dyDescent="0.2">
      <c r="A180" t="s">
        <v>278</v>
      </c>
      <c r="B180">
        <v>23643674</v>
      </c>
      <c r="C180">
        <v>1540786</v>
      </c>
      <c r="D180">
        <v>0</v>
      </c>
      <c r="E180">
        <v>1604410109</v>
      </c>
      <c r="F180">
        <v>79.839299999999994</v>
      </c>
      <c r="G180">
        <v>6.7777000000000003</v>
      </c>
      <c r="H180">
        <v>1177.972</v>
      </c>
      <c r="I180">
        <v>0</v>
      </c>
      <c r="M180" t="s">
        <v>576</v>
      </c>
      <c r="N180">
        <v>0.96967525475015581</v>
      </c>
      <c r="O180">
        <v>0.99517344420321319</v>
      </c>
      <c r="P180">
        <v>0.99822148149697776</v>
      </c>
      <c r="Q180">
        <v>0.97883005859161543</v>
      </c>
      <c r="AX180" t="s">
        <v>278</v>
      </c>
      <c r="AY180">
        <v>3120423478</v>
      </c>
      <c r="AZ180">
        <v>1928500321</v>
      </c>
    </row>
    <row r="181" spans="1:52" x14ac:dyDescent="0.2">
      <c r="A181" t="s">
        <v>279</v>
      </c>
      <c r="B181">
        <v>23670498</v>
      </c>
      <c r="C181">
        <v>1402635</v>
      </c>
      <c r="D181">
        <v>0</v>
      </c>
      <c r="E181">
        <v>1677101151</v>
      </c>
      <c r="F181">
        <v>69.982600000000005</v>
      </c>
      <c r="G181">
        <v>6.4633000000000003</v>
      </c>
      <c r="H181">
        <v>1082.7726</v>
      </c>
      <c r="I181">
        <v>0</v>
      </c>
      <c r="M181" t="s">
        <v>577</v>
      </c>
      <c r="N181">
        <v>0.62525329715797529</v>
      </c>
      <c r="O181">
        <v>0.99520081194509313</v>
      </c>
      <c r="P181">
        <v>0.99206145557910053</v>
      </c>
      <c r="Q181">
        <v>0.99007579267740187</v>
      </c>
      <c r="AX181" t="s">
        <v>279</v>
      </c>
      <c r="AY181">
        <v>3095381565</v>
      </c>
      <c r="AZ181">
        <v>2097258332</v>
      </c>
    </row>
    <row r="182" spans="1:52" x14ac:dyDescent="0.2">
      <c r="A182" t="s">
        <v>280</v>
      </c>
      <c r="B182">
        <v>23696052</v>
      </c>
      <c r="C182">
        <v>1324962</v>
      </c>
      <c r="D182">
        <v>0</v>
      </c>
      <c r="E182">
        <v>1380554370</v>
      </c>
      <c r="F182">
        <v>68.415400000000005</v>
      </c>
      <c r="G182">
        <v>6.3038999999999996</v>
      </c>
      <c r="H182">
        <v>1085.2955999999999</v>
      </c>
      <c r="I182">
        <v>0</v>
      </c>
      <c r="M182" t="s">
        <v>578</v>
      </c>
      <c r="N182">
        <v>0.99690326330793433</v>
      </c>
      <c r="O182">
        <v>0.99901343958862066</v>
      </c>
      <c r="P182">
        <v>0.93940293241471751</v>
      </c>
      <c r="Q182" t="s">
        <v>622</v>
      </c>
      <c r="AX182" t="s">
        <v>280</v>
      </c>
      <c r="AY182">
        <v>3063100289</v>
      </c>
      <c r="AZ182">
        <v>1773977735</v>
      </c>
    </row>
    <row r="183" spans="1:52" x14ac:dyDescent="0.2">
      <c r="A183" t="s">
        <v>281</v>
      </c>
      <c r="B183">
        <v>23925233</v>
      </c>
      <c r="C183">
        <v>1538114</v>
      </c>
      <c r="D183">
        <v>0</v>
      </c>
      <c r="E183">
        <v>1522935640</v>
      </c>
      <c r="F183">
        <v>65.149500000000003</v>
      </c>
      <c r="G183">
        <v>6.1162999999999998</v>
      </c>
      <c r="H183">
        <v>1065.1863000000001</v>
      </c>
      <c r="I183">
        <v>0</v>
      </c>
      <c r="M183" t="s">
        <v>579</v>
      </c>
      <c r="N183">
        <v>0.90712066401686131</v>
      </c>
      <c r="O183">
        <v>0.86252517828760011</v>
      </c>
      <c r="P183">
        <v>0.95222107839048986</v>
      </c>
      <c r="Q183" t="s">
        <v>622</v>
      </c>
      <c r="AX183" t="s">
        <v>281</v>
      </c>
      <c r="AY183">
        <v>3045413903</v>
      </c>
      <c r="AZ183">
        <v>2085854170</v>
      </c>
    </row>
    <row r="184" spans="1:52" x14ac:dyDescent="0.2">
      <c r="A184" t="s">
        <v>282</v>
      </c>
      <c r="B184">
        <v>24033958</v>
      </c>
      <c r="C184">
        <v>1540091</v>
      </c>
      <c r="D184">
        <v>0</v>
      </c>
      <c r="E184">
        <v>1643104658</v>
      </c>
      <c r="F184">
        <v>65.288700000000006</v>
      </c>
      <c r="G184">
        <v>6.0904999999999996</v>
      </c>
      <c r="H184">
        <v>1071.9786999999999</v>
      </c>
      <c r="I184">
        <v>0</v>
      </c>
      <c r="M184" t="s">
        <v>580</v>
      </c>
      <c r="N184">
        <v>0.47513797238985966</v>
      </c>
      <c r="O184">
        <v>0.47336422371452475</v>
      </c>
      <c r="P184">
        <v>0.47801215982267015</v>
      </c>
      <c r="Q184" t="s">
        <v>622</v>
      </c>
      <c r="AX184" t="s">
        <v>282</v>
      </c>
      <c r="AY184">
        <v>3025003396</v>
      </c>
      <c r="AZ184">
        <v>2058234373</v>
      </c>
    </row>
    <row r="185" spans="1:52" x14ac:dyDescent="0.2">
      <c r="A185" t="s">
        <v>283</v>
      </c>
      <c r="B185">
        <v>24058706</v>
      </c>
      <c r="C185">
        <v>1382100</v>
      </c>
      <c r="D185">
        <v>0</v>
      </c>
      <c r="E185">
        <v>1635276639</v>
      </c>
      <c r="F185">
        <v>64.5869</v>
      </c>
      <c r="G185">
        <v>6.0442999999999998</v>
      </c>
      <c r="H185">
        <v>1068.5542</v>
      </c>
      <c r="I185">
        <v>0</v>
      </c>
      <c r="M185" t="s">
        <v>581</v>
      </c>
      <c r="N185">
        <v>0.26293674274624962</v>
      </c>
      <c r="O185">
        <v>0.39605527697326748</v>
      </c>
      <c r="P185">
        <v>7.6251398897846698E-2</v>
      </c>
      <c r="Q185" t="s">
        <v>622</v>
      </c>
      <c r="AX185" t="s">
        <v>283</v>
      </c>
      <c r="AY185">
        <v>3004117491</v>
      </c>
      <c r="AZ185">
        <v>2043114851</v>
      </c>
    </row>
    <row r="186" spans="1:52" x14ac:dyDescent="0.2">
      <c r="A186" t="s">
        <v>284</v>
      </c>
      <c r="B186">
        <v>24095834</v>
      </c>
      <c r="C186">
        <v>1346991</v>
      </c>
      <c r="D186">
        <v>0</v>
      </c>
      <c r="E186">
        <v>1479506584</v>
      </c>
      <c r="F186">
        <v>65.347800000000007</v>
      </c>
      <c r="G186">
        <v>6.0420999999999996</v>
      </c>
      <c r="H186">
        <v>1081.5400999999999</v>
      </c>
      <c r="I186">
        <v>0</v>
      </c>
      <c r="M186" t="s">
        <v>582</v>
      </c>
      <c r="N186">
        <v>0.99493164317961835</v>
      </c>
      <c r="O186">
        <v>0.99371182583053919</v>
      </c>
      <c r="P186">
        <v>0.77208855951568411</v>
      </c>
      <c r="Q186" t="s">
        <v>622</v>
      </c>
      <c r="AX186" t="s">
        <v>284</v>
      </c>
      <c r="AY186">
        <v>2990596441</v>
      </c>
      <c r="AZ186">
        <v>1883806466</v>
      </c>
    </row>
    <row r="187" spans="1:52" x14ac:dyDescent="0.2">
      <c r="A187" t="s">
        <v>285</v>
      </c>
      <c r="B187">
        <v>24257693</v>
      </c>
      <c r="C187">
        <v>1682614</v>
      </c>
      <c r="D187">
        <v>0</v>
      </c>
      <c r="E187">
        <v>2016464996</v>
      </c>
      <c r="F187">
        <v>70.239699999999999</v>
      </c>
      <c r="G187">
        <v>6.1711</v>
      </c>
      <c r="H187">
        <v>1138.2030999999999</v>
      </c>
      <c r="I187">
        <v>0</v>
      </c>
      <c r="M187" t="s">
        <v>583</v>
      </c>
      <c r="N187">
        <v>0.6213465789044571</v>
      </c>
      <c r="O187">
        <v>0.81569746584634995</v>
      </c>
      <c r="P187">
        <v>0.14369195660860357</v>
      </c>
      <c r="Q187" t="s">
        <v>622</v>
      </c>
      <c r="AX187" t="s">
        <v>285</v>
      </c>
      <c r="AY187">
        <v>2995896398</v>
      </c>
      <c r="AZ187">
        <v>2653153282</v>
      </c>
    </row>
    <row r="188" spans="1:52" x14ac:dyDescent="0.2">
      <c r="A188" t="s">
        <v>286</v>
      </c>
      <c r="B188">
        <v>24323490</v>
      </c>
      <c r="C188">
        <v>1580436</v>
      </c>
      <c r="D188">
        <v>0</v>
      </c>
      <c r="E188">
        <v>1885753931</v>
      </c>
      <c r="F188">
        <v>72.537899999999993</v>
      </c>
      <c r="G188">
        <v>6.1943000000000001</v>
      </c>
      <c r="H188">
        <v>1171.0342000000001</v>
      </c>
      <c r="I188">
        <v>0</v>
      </c>
      <c r="M188" t="s">
        <v>584</v>
      </c>
      <c r="N188">
        <v>0.35917898612044569</v>
      </c>
      <c r="O188">
        <v>0.81451394205880745</v>
      </c>
      <c r="P188">
        <v>0.68761678758513289</v>
      </c>
      <c r="Q188" t="s">
        <v>622</v>
      </c>
      <c r="AX188" t="s">
        <v>286</v>
      </c>
      <c r="AY188">
        <v>2992940448</v>
      </c>
      <c r="AZ188">
        <v>2338168838</v>
      </c>
    </row>
    <row r="189" spans="1:52" x14ac:dyDescent="0.2">
      <c r="A189" t="s">
        <v>287</v>
      </c>
      <c r="B189">
        <v>24254022</v>
      </c>
      <c r="C189">
        <v>1343844</v>
      </c>
      <c r="D189">
        <v>0</v>
      </c>
      <c r="E189">
        <v>1788535813</v>
      </c>
      <c r="F189">
        <v>73.972800000000007</v>
      </c>
      <c r="G189">
        <v>6.1424000000000003</v>
      </c>
      <c r="H189">
        <v>1204.2996000000001</v>
      </c>
      <c r="I189">
        <v>0</v>
      </c>
      <c r="M189" t="s">
        <v>585</v>
      </c>
      <c r="N189">
        <v>7.81597807306301E-3</v>
      </c>
      <c r="O189">
        <v>0.86522922738215913</v>
      </c>
      <c r="P189">
        <v>0.82275299128857426</v>
      </c>
      <c r="Q189" t="s">
        <v>622</v>
      </c>
      <c r="AX189" t="s">
        <v>287</v>
      </c>
      <c r="AY189">
        <v>2973718623</v>
      </c>
      <c r="AZ189">
        <v>2080482576</v>
      </c>
    </row>
    <row r="190" spans="1:52" x14ac:dyDescent="0.2">
      <c r="A190" t="s">
        <v>288</v>
      </c>
      <c r="B190">
        <v>24145327</v>
      </c>
      <c r="C190">
        <v>1347741</v>
      </c>
      <c r="D190">
        <v>0</v>
      </c>
      <c r="E190">
        <v>1430131212</v>
      </c>
      <c r="F190">
        <v>73.425899999999999</v>
      </c>
      <c r="G190">
        <v>6.14</v>
      </c>
      <c r="H190">
        <v>1195.856</v>
      </c>
      <c r="I190">
        <v>0</v>
      </c>
      <c r="M190" t="s">
        <v>586</v>
      </c>
      <c r="N190">
        <v>0.99710846006509612</v>
      </c>
      <c r="O190">
        <v>0.96919211981650877</v>
      </c>
      <c r="P190">
        <v>0.57995614305120546</v>
      </c>
      <c r="Q190" t="s">
        <v>622</v>
      </c>
      <c r="AX190" t="s">
        <v>288</v>
      </c>
      <c r="AY190">
        <v>2924891168</v>
      </c>
      <c r="AZ190">
        <v>1879467448</v>
      </c>
    </row>
    <row r="191" spans="1:52" x14ac:dyDescent="0.2">
      <c r="A191" t="s">
        <v>289</v>
      </c>
      <c r="B191">
        <v>542336</v>
      </c>
      <c r="C191">
        <v>20040</v>
      </c>
      <c r="D191">
        <v>0</v>
      </c>
      <c r="E191">
        <v>59495373</v>
      </c>
      <c r="F191">
        <v>109.7021</v>
      </c>
      <c r="G191">
        <v>3.6951000000000001</v>
      </c>
      <c r="H191">
        <v>2968.8310000000001</v>
      </c>
      <c r="I191">
        <v>0</v>
      </c>
      <c r="M191" t="s">
        <v>587</v>
      </c>
      <c r="N191">
        <v>0.36687153013553736</v>
      </c>
      <c r="O191">
        <v>0.53962498519442981</v>
      </c>
      <c r="P191">
        <v>2.817790813472049E-3</v>
      </c>
      <c r="Q191" t="s">
        <v>622</v>
      </c>
    </row>
    <row r="192" spans="1:52" x14ac:dyDescent="0.2">
      <c r="A192" t="s">
        <v>290</v>
      </c>
      <c r="B192">
        <v>547971</v>
      </c>
      <c r="C192">
        <v>19678</v>
      </c>
      <c r="D192">
        <v>0</v>
      </c>
      <c r="E192">
        <v>56666862</v>
      </c>
      <c r="F192">
        <v>106.54089999999999</v>
      </c>
      <c r="G192">
        <v>3.6427999999999998</v>
      </c>
      <c r="H192">
        <v>2924.6747999999998</v>
      </c>
      <c r="I192">
        <v>0</v>
      </c>
      <c r="M192" t="s">
        <v>588</v>
      </c>
      <c r="N192">
        <v>2.7201087103401887E-2</v>
      </c>
      <c r="O192">
        <v>1.2904819833809391E-2</v>
      </c>
      <c r="P192">
        <v>0.35343406475141381</v>
      </c>
      <c r="Q192" t="s">
        <v>622</v>
      </c>
    </row>
    <row r="193" spans="1:17" x14ac:dyDescent="0.2">
      <c r="A193" t="s">
        <v>291</v>
      </c>
      <c r="B193">
        <v>552485</v>
      </c>
      <c r="C193">
        <v>19068</v>
      </c>
      <c r="D193">
        <v>0</v>
      </c>
      <c r="E193">
        <v>56130311</v>
      </c>
      <c r="F193">
        <v>104.8779</v>
      </c>
      <c r="G193">
        <v>3.5783999999999998</v>
      </c>
      <c r="H193">
        <v>2930.8431999999998</v>
      </c>
      <c r="I193">
        <v>0</v>
      </c>
      <c r="M193" t="s">
        <v>589</v>
      </c>
      <c r="N193">
        <v>0.12640869755185843</v>
      </c>
      <c r="O193">
        <v>0.42435254108456189</v>
      </c>
      <c r="P193">
        <v>0.69257821305264022</v>
      </c>
      <c r="Q193" t="s">
        <v>622</v>
      </c>
    </row>
    <row r="194" spans="1:17" x14ac:dyDescent="0.2">
      <c r="A194" t="s">
        <v>292</v>
      </c>
      <c r="B194">
        <v>559010</v>
      </c>
      <c r="C194">
        <v>19466</v>
      </c>
      <c r="D194">
        <v>0</v>
      </c>
      <c r="E194">
        <v>57073037</v>
      </c>
      <c r="F194">
        <v>104.1718</v>
      </c>
      <c r="G194">
        <v>3.5539999999999998</v>
      </c>
      <c r="H194">
        <v>2931.1145999999999</v>
      </c>
      <c r="I194">
        <v>0</v>
      </c>
      <c r="M194" t="s">
        <v>590</v>
      </c>
      <c r="N194">
        <v>0.90558277930362807</v>
      </c>
      <c r="O194">
        <v>0.99162283679328</v>
      </c>
      <c r="P194">
        <v>0.29554866475792979</v>
      </c>
      <c r="Q194" t="s">
        <v>622</v>
      </c>
    </row>
    <row r="195" spans="1:17" x14ac:dyDescent="0.2">
      <c r="A195" t="s">
        <v>293</v>
      </c>
      <c r="B195">
        <v>564445</v>
      </c>
      <c r="C195">
        <v>21226</v>
      </c>
      <c r="D195">
        <v>0</v>
      </c>
      <c r="E195">
        <v>62765522</v>
      </c>
      <c r="F195">
        <v>104.6066</v>
      </c>
      <c r="G195">
        <v>3.5720000000000001</v>
      </c>
      <c r="H195">
        <v>2928.5194999999999</v>
      </c>
      <c r="I195">
        <v>0</v>
      </c>
      <c r="M195" t="s">
        <v>591</v>
      </c>
      <c r="N195">
        <v>0.82258542684160019</v>
      </c>
      <c r="O195">
        <v>0.96980789239987297</v>
      </c>
      <c r="P195">
        <v>0.11723893118447894</v>
      </c>
      <c r="Q195" t="s">
        <v>622</v>
      </c>
    </row>
    <row r="196" spans="1:17" x14ac:dyDescent="0.2">
      <c r="A196" t="s">
        <v>294</v>
      </c>
      <c r="B196">
        <v>572258</v>
      </c>
      <c r="C196">
        <v>20694</v>
      </c>
      <c r="D196">
        <v>0</v>
      </c>
      <c r="E196">
        <v>61439962</v>
      </c>
      <c r="F196">
        <v>105.5996</v>
      </c>
      <c r="G196">
        <v>3.5785999999999998</v>
      </c>
      <c r="H196">
        <v>2950.8642</v>
      </c>
      <c r="I196">
        <v>0</v>
      </c>
      <c r="M196" t="s">
        <v>592</v>
      </c>
      <c r="N196">
        <v>8.4377412051637096E-2</v>
      </c>
      <c r="O196">
        <v>0.36996410041769573</v>
      </c>
      <c r="P196">
        <v>0.69800860388228003</v>
      </c>
      <c r="Q196" t="s">
        <v>622</v>
      </c>
    </row>
    <row r="197" spans="1:17" x14ac:dyDescent="0.2">
      <c r="A197" t="s">
        <v>295</v>
      </c>
      <c r="B197">
        <v>579496</v>
      </c>
      <c r="C197">
        <v>20412</v>
      </c>
      <c r="D197">
        <v>0</v>
      </c>
      <c r="E197">
        <v>61447885</v>
      </c>
      <c r="F197">
        <v>106.6831</v>
      </c>
      <c r="G197">
        <v>3.5952000000000002</v>
      </c>
      <c r="H197">
        <v>2967.3879999999999</v>
      </c>
      <c r="I197">
        <v>0</v>
      </c>
      <c r="M197" t="s">
        <v>593</v>
      </c>
      <c r="N197">
        <v>1.9658162303862234E-2</v>
      </c>
      <c r="O197">
        <v>0.71421972131124534</v>
      </c>
      <c r="P197">
        <v>0.8504723030657142</v>
      </c>
      <c r="Q197" t="s">
        <v>622</v>
      </c>
    </row>
    <row r="198" spans="1:17" x14ac:dyDescent="0.2">
      <c r="A198" t="s">
        <v>296</v>
      </c>
      <c r="B198">
        <v>586424</v>
      </c>
      <c r="C198">
        <v>19588</v>
      </c>
      <c r="D198">
        <v>0</v>
      </c>
      <c r="E198">
        <v>62039075</v>
      </c>
      <c r="F198">
        <v>107.5697</v>
      </c>
      <c r="G198">
        <v>3.5577000000000001</v>
      </c>
      <c r="H198">
        <v>3023.5893999999998</v>
      </c>
      <c r="I198">
        <v>0</v>
      </c>
      <c r="M198" t="s">
        <v>594</v>
      </c>
      <c r="N198">
        <v>0.8352830381815477</v>
      </c>
      <c r="O198">
        <v>0.99830611872018526</v>
      </c>
      <c r="P198">
        <v>5.9391174745944131E-2</v>
      </c>
      <c r="Q198" t="s">
        <v>622</v>
      </c>
    </row>
    <row r="199" spans="1:17" x14ac:dyDescent="0.2">
      <c r="A199" t="s">
        <v>297</v>
      </c>
      <c r="B199">
        <v>588594</v>
      </c>
      <c r="C199">
        <v>21145</v>
      </c>
      <c r="D199">
        <v>0</v>
      </c>
      <c r="E199">
        <v>66070963</v>
      </c>
      <c r="F199">
        <v>107.87390000000001</v>
      </c>
      <c r="G199">
        <v>3.5173000000000001</v>
      </c>
      <c r="H199">
        <v>3066.9715999999999</v>
      </c>
      <c r="I199">
        <v>0</v>
      </c>
      <c r="M199" t="s">
        <v>595</v>
      </c>
      <c r="N199">
        <v>7.1809431253850711E-2</v>
      </c>
      <c r="O199">
        <v>0.8661480071473574</v>
      </c>
      <c r="P199">
        <v>0.7650627020222629</v>
      </c>
      <c r="Q199" t="s">
        <v>622</v>
      </c>
    </row>
    <row r="200" spans="1:17" x14ac:dyDescent="0.2">
      <c r="A200" t="s">
        <v>298</v>
      </c>
      <c r="B200">
        <v>593745</v>
      </c>
      <c r="C200">
        <v>20687</v>
      </c>
      <c r="D200">
        <v>0</v>
      </c>
      <c r="E200">
        <v>66721340</v>
      </c>
      <c r="F200">
        <v>109.13590000000001</v>
      </c>
      <c r="G200">
        <v>3.4847999999999999</v>
      </c>
      <c r="H200">
        <v>3131.7732000000001</v>
      </c>
      <c r="I200">
        <v>0</v>
      </c>
      <c r="M200" t="s">
        <v>596</v>
      </c>
      <c r="N200">
        <v>2.9289889816012109E-3</v>
      </c>
      <c r="O200">
        <v>0.95883167091438237</v>
      </c>
      <c r="P200">
        <v>0.85467749415468575</v>
      </c>
      <c r="Q200" t="s">
        <v>622</v>
      </c>
    </row>
    <row r="201" spans="1:17" x14ac:dyDescent="0.2">
      <c r="A201" t="s">
        <v>299</v>
      </c>
      <c r="B201">
        <v>594860</v>
      </c>
      <c r="C201">
        <v>19264</v>
      </c>
      <c r="D201">
        <v>0</v>
      </c>
      <c r="E201">
        <v>61477302</v>
      </c>
      <c r="F201">
        <v>108.4389</v>
      </c>
      <c r="G201">
        <v>3.4136000000000002</v>
      </c>
      <c r="H201">
        <v>3176.6977000000002</v>
      </c>
      <c r="I201">
        <v>0</v>
      </c>
      <c r="M201" t="s">
        <v>597</v>
      </c>
      <c r="N201">
        <v>7.5300308333466681E-2</v>
      </c>
      <c r="O201">
        <v>0.98301396428535925</v>
      </c>
      <c r="P201">
        <v>0.93242363688034124</v>
      </c>
      <c r="Q201" t="s">
        <v>622</v>
      </c>
    </row>
    <row r="202" spans="1:17" x14ac:dyDescent="0.2">
      <c r="A202" t="s">
        <v>300</v>
      </c>
      <c r="B202">
        <v>597673</v>
      </c>
      <c r="C202">
        <v>20356</v>
      </c>
      <c r="D202">
        <v>0</v>
      </c>
      <c r="E202">
        <v>66056030</v>
      </c>
      <c r="F202">
        <v>109.61669999999999</v>
      </c>
      <c r="G202">
        <v>3.4297</v>
      </c>
      <c r="H202">
        <v>3196.0619000000002</v>
      </c>
      <c r="I202">
        <v>0</v>
      </c>
      <c r="M202" t="s">
        <v>598</v>
      </c>
      <c r="N202">
        <v>0.73746428581934764</v>
      </c>
      <c r="O202">
        <v>0.5281553682706327</v>
      </c>
      <c r="P202">
        <v>0.79938989153526696</v>
      </c>
      <c r="Q202" t="s">
        <v>622</v>
      </c>
    </row>
    <row r="203" spans="1:17" x14ac:dyDescent="0.2">
      <c r="A203" t="s">
        <v>301</v>
      </c>
      <c r="B203">
        <v>597015</v>
      </c>
      <c r="C203">
        <v>21707</v>
      </c>
      <c r="D203">
        <v>0</v>
      </c>
      <c r="E203">
        <v>69711322</v>
      </c>
      <c r="F203">
        <v>110.7568</v>
      </c>
      <c r="G203">
        <v>3.4411999999999998</v>
      </c>
      <c r="H203">
        <v>3218.5479999999998</v>
      </c>
      <c r="I203">
        <v>0</v>
      </c>
      <c r="M203" t="s">
        <v>599</v>
      </c>
      <c r="N203">
        <v>0.84814489609199029</v>
      </c>
      <c r="O203">
        <v>0.27735231355529089</v>
      </c>
      <c r="P203">
        <v>0.89903937855204663</v>
      </c>
      <c r="Q203" t="s">
        <v>622</v>
      </c>
    </row>
    <row r="204" spans="1:17" x14ac:dyDescent="0.2">
      <c r="A204" t="s">
        <v>302</v>
      </c>
      <c r="B204">
        <v>599681</v>
      </c>
      <c r="C204">
        <v>21453</v>
      </c>
      <c r="D204">
        <v>0</v>
      </c>
      <c r="E204">
        <v>71055736</v>
      </c>
      <c r="F204">
        <v>112.2958</v>
      </c>
      <c r="G204">
        <v>3.4647000000000001</v>
      </c>
      <c r="H204">
        <v>3241.1257999999998</v>
      </c>
      <c r="I204">
        <v>0</v>
      </c>
      <c r="M204" t="s">
        <v>600</v>
      </c>
      <c r="N204">
        <v>7.5275213098308202E-2</v>
      </c>
      <c r="O204">
        <v>0.56199933087481724</v>
      </c>
      <c r="P204">
        <v>0.10631395701906848</v>
      </c>
      <c r="Q204" t="s">
        <v>622</v>
      </c>
    </row>
    <row r="205" spans="1:17" x14ac:dyDescent="0.2">
      <c r="A205" t="s">
        <v>303</v>
      </c>
      <c r="B205">
        <v>598238</v>
      </c>
      <c r="C205">
        <v>20078</v>
      </c>
      <c r="D205">
        <v>0</v>
      </c>
      <c r="E205">
        <v>64927182</v>
      </c>
      <c r="F205">
        <v>113.5792</v>
      </c>
      <c r="G205">
        <v>3.4937999999999998</v>
      </c>
      <c r="H205">
        <v>3250.8346000000001</v>
      </c>
      <c r="I205">
        <v>0</v>
      </c>
      <c r="M205" t="s">
        <v>601</v>
      </c>
      <c r="N205">
        <v>8.5683724255722973E-2</v>
      </c>
      <c r="O205">
        <v>0.81683815498173451</v>
      </c>
      <c r="P205">
        <v>0.3621009516632594</v>
      </c>
      <c r="Q205" t="s">
        <v>622</v>
      </c>
    </row>
    <row r="206" spans="1:17" x14ac:dyDescent="0.2">
      <c r="A206" t="s">
        <v>304</v>
      </c>
      <c r="B206">
        <v>599002</v>
      </c>
      <c r="C206">
        <v>20823</v>
      </c>
      <c r="D206">
        <v>0</v>
      </c>
      <c r="E206">
        <v>67626698</v>
      </c>
      <c r="F206">
        <v>114.1722</v>
      </c>
      <c r="G206">
        <v>3.5114000000000001</v>
      </c>
      <c r="H206">
        <v>3251.4594999999999</v>
      </c>
      <c r="I206">
        <v>0</v>
      </c>
      <c r="M206" t="s">
        <v>602</v>
      </c>
      <c r="N206">
        <v>0.96296560125575936</v>
      </c>
      <c r="O206">
        <v>0.98953962309565313</v>
      </c>
      <c r="P206">
        <v>0.34082913923801506</v>
      </c>
      <c r="Q206" t="s">
        <v>622</v>
      </c>
    </row>
    <row r="207" spans="1:17" x14ac:dyDescent="0.2">
      <c r="A207" t="s">
        <v>305</v>
      </c>
      <c r="B207">
        <v>598531</v>
      </c>
      <c r="C207">
        <v>21151</v>
      </c>
      <c r="D207">
        <v>0</v>
      </c>
      <c r="E207">
        <v>69820148</v>
      </c>
      <c r="F207">
        <v>114.1454</v>
      </c>
      <c r="G207">
        <v>3.4860000000000002</v>
      </c>
      <c r="H207">
        <v>3274.4119000000001</v>
      </c>
      <c r="I207">
        <v>0</v>
      </c>
      <c r="M207" t="s">
        <v>603</v>
      </c>
      <c r="N207">
        <v>0.66302350880191663</v>
      </c>
      <c r="O207">
        <v>0.72641740779706832</v>
      </c>
      <c r="P207">
        <v>6.1916482944345021E-2</v>
      </c>
      <c r="Q207" t="s">
        <v>622</v>
      </c>
    </row>
    <row r="208" spans="1:17" x14ac:dyDescent="0.2">
      <c r="A208" t="s">
        <v>306</v>
      </c>
      <c r="B208">
        <v>598403</v>
      </c>
      <c r="C208">
        <v>20569</v>
      </c>
      <c r="D208">
        <v>0</v>
      </c>
      <c r="E208">
        <v>65787690</v>
      </c>
      <c r="F208">
        <v>112.0059</v>
      </c>
      <c r="G208">
        <v>3.4508999999999999</v>
      </c>
      <c r="H208">
        <v>3245.6846999999998</v>
      </c>
      <c r="I208">
        <v>0</v>
      </c>
      <c r="M208" t="s">
        <v>604</v>
      </c>
      <c r="N208">
        <v>5.1020663926803683E-2</v>
      </c>
      <c r="O208">
        <v>0.35881483733766256</v>
      </c>
      <c r="P208">
        <v>0.52165148237141601</v>
      </c>
      <c r="Q208" t="s">
        <v>622</v>
      </c>
    </row>
    <row r="209" spans="1:17" x14ac:dyDescent="0.2">
      <c r="A209" t="s">
        <v>307</v>
      </c>
      <c r="B209">
        <v>594301</v>
      </c>
      <c r="C209">
        <v>18512</v>
      </c>
      <c r="D209">
        <v>0</v>
      </c>
      <c r="E209">
        <v>60789308</v>
      </c>
      <c r="F209">
        <v>110.4593</v>
      </c>
      <c r="G209">
        <v>3.3910999999999998</v>
      </c>
      <c r="H209">
        <v>3257.3418999999999</v>
      </c>
      <c r="I209">
        <v>0</v>
      </c>
      <c r="M209" t="s">
        <v>605</v>
      </c>
      <c r="N209">
        <v>6.5163241059334354E-2</v>
      </c>
      <c r="O209">
        <v>0.61267783000892428</v>
      </c>
      <c r="P209">
        <v>0.74498627523843408</v>
      </c>
      <c r="Q209" t="s">
        <v>622</v>
      </c>
    </row>
    <row r="210" spans="1:17" x14ac:dyDescent="0.2">
      <c r="A210" t="s">
        <v>308</v>
      </c>
      <c r="B210">
        <v>591264</v>
      </c>
      <c r="C210">
        <v>18189</v>
      </c>
      <c r="D210">
        <v>0</v>
      </c>
      <c r="E210">
        <v>58935104</v>
      </c>
      <c r="F210">
        <v>107.1699</v>
      </c>
      <c r="G210">
        <v>3.2915000000000001</v>
      </c>
      <c r="H210">
        <v>3255.9168</v>
      </c>
      <c r="I210">
        <v>0</v>
      </c>
      <c r="M210" t="s">
        <v>606</v>
      </c>
      <c r="N210">
        <v>0.93739953105471019</v>
      </c>
      <c r="O210">
        <v>0.95421004729706582</v>
      </c>
      <c r="P210">
        <v>0.83817995795700539</v>
      </c>
      <c r="Q210" t="s">
        <v>622</v>
      </c>
    </row>
    <row r="211" spans="1:17" x14ac:dyDescent="0.2">
      <c r="A211" t="s">
        <v>309</v>
      </c>
      <c r="B211">
        <v>588193</v>
      </c>
      <c r="C211">
        <v>18786</v>
      </c>
      <c r="D211">
        <v>0</v>
      </c>
      <c r="E211">
        <v>59404771</v>
      </c>
      <c r="F211">
        <v>103.24630000000001</v>
      </c>
      <c r="G211">
        <v>3.2061999999999999</v>
      </c>
      <c r="H211">
        <v>3220.2175999999999</v>
      </c>
      <c r="I211">
        <v>0</v>
      </c>
      <c r="M211" t="s">
        <v>607</v>
      </c>
      <c r="N211">
        <v>8.545926028769699E-3</v>
      </c>
      <c r="O211">
        <v>0.3465656174221714</v>
      </c>
      <c r="P211">
        <v>0.89525452372704739</v>
      </c>
      <c r="Q211" t="s">
        <v>622</v>
      </c>
    </row>
    <row r="212" spans="1:17" x14ac:dyDescent="0.2">
      <c r="A212" t="s">
        <v>310</v>
      </c>
      <c r="B212">
        <v>3032084</v>
      </c>
      <c r="C212">
        <v>129938</v>
      </c>
      <c r="D212">
        <v>0</v>
      </c>
      <c r="E212">
        <v>340179045</v>
      </c>
      <c r="F212">
        <v>112.1931</v>
      </c>
      <c r="G212">
        <v>4.2854000000000001</v>
      </c>
      <c r="H212">
        <v>2618.0104999999999</v>
      </c>
      <c r="I212">
        <v>0</v>
      </c>
      <c r="M212" t="s">
        <v>608</v>
      </c>
      <c r="N212">
        <v>0.22168803650267818</v>
      </c>
      <c r="O212">
        <v>0.5567780957646179</v>
      </c>
      <c r="P212">
        <v>0.91948217507049668</v>
      </c>
      <c r="Q212" t="s">
        <v>622</v>
      </c>
    </row>
    <row r="213" spans="1:17" x14ac:dyDescent="0.2">
      <c r="A213" t="s">
        <v>311</v>
      </c>
      <c r="B213">
        <v>3048445</v>
      </c>
      <c r="C213">
        <v>124355</v>
      </c>
      <c r="D213">
        <v>0</v>
      </c>
      <c r="E213">
        <v>323536185</v>
      </c>
      <c r="F213">
        <v>109.1542</v>
      </c>
      <c r="G213">
        <v>4.1821000000000002</v>
      </c>
      <c r="H213">
        <v>2610.0412999999999</v>
      </c>
      <c r="I213">
        <v>0</v>
      </c>
      <c r="M213" t="s">
        <v>609</v>
      </c>
      <c r="N213">
        <v>0.43548909214903114</v>
      </c>
      <c r="O213">
        <v>0.80758503562834461</v>
      </c>
      <c r="P213">
        <v>0.94677361351786971</v>
      </c>
      <c r="Q213" t="s">
        <v>622</v>
      </c>
    </row>
    <row r="214" spans="1:17" x14ac:dyDescent="0.2">
      <c r="A214" t="s">
        <v>312</v>
      </c>
      <c r="B214">
        <v>3067150</v>
      </c>
      <c r="C214">
        <v>121359</v>
      </c>
      <c r="D214">
        <v>0</v>
      </c>
      <c r="E214">
        <v>319615876</v>
      </c>
      <c r="F214">
        <v>107.49509999999999</v>
      </c>
      <c r="G214">
        <v>4.1064999999999996</v>
      </c>
      <c r="H214">
        <v>2617.665</v>
      </c>
      <c r="I214">
        <v>0</v>
      </c>
      <c r="M214" t="s">
        <v>610</v>
      </c>
      <c r="N214">
        <v>0.96424445212084975</v>
      </c>
      <c r="O214">
        <v>0.95383885975553906</v>
      </c>
      <c r="P214">
        <v>0.91535717452872101</v>
      </c>
      <c r="Q214" t="s">
        <v>622</v>
      </c>
    </row>
    <row r="215" spans="1:17" x14ac:dyDescent="0.2">
      <c r="A215" t="s">
        <v>313</v>
      </c>
      <c r="B215">
        <v>3080037</v>
      </c>
      <c r="C215">
        <v>120737</v>
      </c>
      <c r="D215">
        <v>0</v>
      </c>
      <c r="E215">
        <v>316563889</v>
      </c>
      <c r="F215">
        <v>106.3073</v>
      </c>
      <c r="G215">
        <v>4.0594999999999999</v>
      </c>
      <c r="H215">
        <v>2618.7022999999999</v>
      </c>
      <c r="I215">
        <v>0</v>
      </c>
      <c r="M215" t="s">
        <v>611</v>
      </c>
      <c r="N215">
        <v>6.3348191077091151E-2</v>
      </c>
      <c r="O215">
        <v>0.73010771477619463</v>
      </c>
      <c r="P215">
        <v>0.98462461997488193</v>
      </c>
      <c r="Q215" t="s">
        <v>622</v>
      </c>
    </row>
    <row r="216" spans="1:17" x14ac:dyDescent="0.2">
      <c r="A216" t="s">
        <v>314</v>
      </c>
      <c r="B216">
        <v>3081971</v>
      </c>
      <c r="C216">
        <v>125977</v>
      </c>
      <c r="D216">
        <v>0</v>
      </c>
      <c r="E216">
        <v>334937054</v>
      </c>
      <c r="F216">
        <v>105.44840000000001</v>
      </c>
      <c r="G216">
        <v>4.0107999999999997</v>
      </c>
      <c r="H216">
        <v>2629.1214</v>
      </c>
      <c r="I216">
        <v>0</v>
      </c>
      <c r="M216" t="s">
        <v>612</v>
      </c>
      <c r="N216">
        <v>0.41115390977387833</v>
      </c>
      <c r="O216">
        <v>0.51324484413506288</v>
      </c>
      <c r="P216">
        <v>0.98390074109025816</v>
      </c>
      <c r="Q216" t="s">
        <v>622</v>
      </c>
    </row>
    <row r="217" spans="1:17" x14ac:dyDescent="0.2">
      <c r="A217" t="s">
        <v>315</v>
      </c>
      <c r="B217">
        <v>3112330</v>
      </c>
      <c r="C217">
        <v>126212</v>
      </c>
      <c r="D217">
        <v>0</v>
      </c>
      <c r="E217">
        <v>336245986</v>
      </c>
      <c r="F217">
        <v>105.9323</v>
      </c>
      <c r="G217">
        <v>4.0050999999999997</v>
      </c>
      <c r="H217">
        <v>2644.9575</v>
      </c>
      <c r="I217">
        <v>0</v>
      </c>
      <c r="M217" t="s">
        <v>613</v>
      </c>
      <c r="N217">
        <v>0.55702559530827556</v>
      </c>
      <c r="O217">
        <v>0.79383455005306736</v>
      </c>
      <c r="P217">
        <v>0.97015858698124247</v>
      </c>
      <c r="Q217" t="s">
        <v>622</v>
      </c>
    </row>
    <row r="218" spans="1:17" x14ac:dyDescent="0.2">
      <c r="A218" t="s">
        <v>316</v>
      </c>
      <c r="B218">
        <v>3138240</v>
      </c>
      <c r="C218">
        <v>124553</v>
      </c>
      <c r="D218">
        <v>0</v>
      </c>
      <c r="E218">
        <v>332450495</v>
      </c>
      <c r="F218">
        <v>106.3596</v>
      </c>
      <c r="G218">
        <v>4.0079000000000002</v>
      </c>
      <c r="H218">
        <v>2653.7752</v>
      </c>
      <c r="I218">
        <v>0</v>
      </c>
      <c r="M218" t="s">
        <v>614</v>
      </c>
      <c r="N218">
        <v>0.4567529108045339</v>
      </c>
      <c r="O218">
        <v>0.81218350941015205</v>
      </c>
      <c r="P218">
        <v>0.97133347851568475</v>
      </c>
      <c r="Q218">
        <v>0.8165885210011844</v>
      </c>
    </row>
    <row r="219" spans="1:17" x14ac:dyDescent="0.2">
      <c r="A219" t="s">
        <v>317</v>
      </c>
      <c r="B219">
        <v>3153499</v>
      </c>
      <c r="C219">
        <v>123170</v>
      </c>
      <c r="D219">
        <v>0</v>
      </c>
      <c r="E219">
        <v>335960873</v>
      </c>
      <c r="F219">
        <v>107.28740000000001</v>
      </c>
      <c r="G219">
        <v>4.0038</v>
      </c>
      <c r="H219">
        <v>2679.6604000000002</v>
      </c>
      <c r="I219">
        <v>0</v>
      </c>
      <c r="M219" t="s">
        <v>615</v>
      </c>
      <c r="N219">
        <v>0.64750098753527718</v>
      </c>
      <c r="O219">
        <v>0.91472969729766473</v>
      </c>
      <c r="P219">
        <v>0.98862855883014022</v>
      </c>
      <c r="Q219">
        <v>0.80392822288112353</v>
      </c>
    </row>
    <row r="220" spans="1:17" x14ac:dyDescent="0.2">
      <c r="A220" t="s">
        <v>318</v>
      </c>
      <c r="B220">
        <v>3157936</v>
      </c>
      <c r="C220">
        <v>126479</v>
      </c>
      <c r="D220">
        <v>0</v>
      </c>
      <c r="E220">
        <v>346094496</v>
      </c>
      <c r="F220">
        <v>107.52679999999999</v>
      </c>
      <c r="G220">
        <v>3.9836</v>
      </c>
      <c r="H220">
        <v>2699.2687000000001</v>
      </c>
      <c r="I220">
        <v>0</v>
      </c>
      <c r="M220" t="s">
        <v>616</v>
      </c>
      <c r="N220">
        <v>0.66437919272500401</v>
      </c>
      <c r="O220">
        <v>0.95713745016861818</v>
      </c>
      <c r="P220">
        <v>0.99458772354731795</v>
      </c>
      <c r="Q220">
        <v>0.82241818393572641</v>
      </c>
    </row>
    <row r="221" spans="1:17" x14ac:dyDescent="0.2">
      <c r="A221" t="s">
        <v>319</v>
      </c>
      <c r="B221">
        <v>3193959</v>
      </c>
      <c r="C221">
        <v>124427</v>
      </c>
      <c r="D221">
        <v>0</v>
      </c>
      <c r="E221">
        <v>346128221</v>
      </c>
      <c r="F221">
        <v>107.6142</v>
      </c>
      <c r="G221">
        <v>3.9437000000000002</v>
      </c>
      <c r="H221">
        <v>2728.7503999999999</v>
      </c>
      <c r="I221">
        <v>0</v>
      </c>
      <c r="M221" t="s">
        <v>617</v>
      </c>
      <c r="N221">
        <v>6.0506796171765336E-3</v>
      </c>
      <c r="O221">
        <v>0.97489190937442227</v>
      </c>
      <c r="P221">
        <v>0.93301045514362213</v>
      </c>
      <c r="Q221">
        <v>0.8629922275693046</v>
      </c>
    </row>
    <row r="222" spans="1:17" x14ac:dyDescent="0.2">
      <c r="A222" t="s">
        <v>320</v>
      </c>
      <c r="B222">
        <v>3219368</v>
      </c>
      <c r="C222">
        <v>121286</v>
      </c>
      <c r="D222">
        <v>0</v>
      </c>
      <c r="E222">
        <v>336143255</v>
      </c>
      <c r="F222">
        <v>107.2183</v>
      </c>
      <c r="G222">
        <v>3.8929</v>
      </c>
      <c r="H222">
        <v>2754.2017000000001</v>
      </c>
      <c r="I222">
        <v>0</v>
      </c>
      <c r="M222" t="s">
        <v>618</v>
      </c>
      <c r="N222">
        <v>1.3606352764104853E-2</v>
      </c>
      <c r="O222">
        <v>1.0412583460666711E-2</v>
      </c>
      <c r="P222">
        <v>5.9168556517341035E-2</v>
      </c>
      <c r="Q222" t="s">
        <v>622</v>
      </c>
    </row>
    <row r="223" spans="1:17" x14ac:dyDescent="0.2">
      <c r="A223" t="s">
        <v>321</v>
      </c>
      <c r="B223">
        <v>3238257</v>
      </c>
      <c r="C223">
        <v>122357</v>
      </c>
      <c r="D223">
        <v>0</v>
      </c>
      <c r="E223">
        <v>340145742</v>
      </c>
      <c r="F223">
        <v>106.8355</v>
      </c>
      <c r="G223">
        <v>3.8607999999999998</v>
      </c>
      <c r="H223">
        <v>2767.1913</v>
      </c>
      <c r="I223">
        <v>0</v>
      </c>
      <c r="M223" t="s">
        <v>619</v>
      </c>
      <c r="N223">
        <v>0.54431811556619814</v>
      </c>
      <c r="O223">
        <v>0.79103819451891699</v>
      </c>
      <c r="P223">
        <v>0.67199466703745614</v>
      </c>
      <c r="Q223" t="s">
        <v>622</v>
      </c>
    </row>
    <row r="224" spans="1:17" x14ac:dyDescent="0.2">
      <c r="A224" t="s">
        <v>322</v>
      </c>
      <c r="B224">
        <v>3260485</v>
      </c>
      <c r="C224">
        <v>128064</v>
      </c>
      <c r="D224">
        <v>0</v>
      </c>
      <c r="E224">
        <v>360828556</v>
      </c>
      <c r="F224">
        <v>107.1281</v>
      </c>
      <c r="G224">
        <v>3.8424</v>
      </c>
      <c r="H224">
        <v>2788.0486999999998</v>
      </c>
      <c r="I224">
        <v>0</v>
      </c>
      <c r="M224" t="s">
        <v>620</v>
      </c>
      <c r="N224">
        <v>5.4370353487056683E-2</v>
      </c>
      <c r="O224">
        <v>0.73538677201019431</v>
      </c>
      <c r="P224">
        <v>0.78396044201479165</v>
      </c>
      <c r="Q224" t="s">
        <v>622</v>
      </c>
    </row>
    <row r="225" spans="1:17" x14ac:dyDescent="0.2">
      <c r="A225" t="s">
        <v>323</v>
      </c>
      <c r="B225">
        <v>3310992</v>
      </c>
      <c r="C225">
        <v>127123</v>
      </c>
      <c r="D225">
        <v>0</v>
      </c>
      <c r="E225">
        <v>367879792</v>
      </c>
      <c r="F225">
        <v>107.8353</v>
      </c>
      <c r="G225">
        <v>3.8285999999999998</v>
      </c>
      <c r="H225">
        <v>2816.5855000000001</v>
      </c>
      <c r="I225">
        <v>0</v>
      </c>
      <c r="M225" t="s">
        <v>621</v>
      </c>
      <c r="N225">
        <v>3.9259757836209693E-3</v>
      </c>
      <c r="O225">
        <v>0.1445482108654442</v>
      </c>
      <c r="P225">
        <v>7.5230464644559111E-2</v>
      </c>
      <c r="Q225" t="s">
        <v>622</v>
      </c>
    </row>
    <row r="226" spans="1:17" x14ac:dyDescent="0.2">
      <c r="A226" t="s">
        <v>324</v>
      </c>
      <c r="B226">
        <v>3341472</v>
      </c>
      <c r="C226">
        <v>126335</v>
      </c>
      <c r="D226">
        <v>0</v>
      </c>
      <c r="E226">
        <v>357579691</v>
      </c>
      <c r="F226">
        <v>108.4641</v>
      </c>
      <c r="G226">
        <v>3.8313999999999999</v>
      </c>
      <c r="H226">
        <v>2830.9054000000001</v>
      </c>
      <c r="I226">
        <v>0</v>
      </c>
    </row>
    <row r="227" spans="1:17" x14ac:dyDescent="0.2">
      <c r="A227" t="s">
        <v>325</v>
      </c>
      <c r="B227">
        <v>3346005</v>
      </c>
      <c r="C227">
        <v>130300</v>
      </c>
      <c r="D227">
        <v>0</v>
      </c>
      <c r="E227">
        <v>368271659</v>
      </c>
      <c r="F227">
        <v>109.70399999999999</v>
      </c>
      <c r="G227">
        <v>3.8601999999999999</v>
      </c>
      <c r="H227">
        <v>2841.9249</v>
      </c>
      <c r="I227">
        <v>0</v>
      </c>
    </row>
    <row r="228" spans="1:17" x14ac:dyDescent="0.2">
      <c r="A228" t="s">
        <v>326</v>
      </c>
      <c r="B228">
        <v>3361607</v>
      </c>
      <c r="C228">
        <v>131896</v>
      </c>
      <c r="D228">
        <v>0</v>
      </c>
      <c r="E228">
        <v>381893933</v>
      </c>
      <c r="F228">
        <v>110.4504</v>
      </c>
      <c r="G228">
        <v>3.8597000000000001</v>
      </c>
      <c r="H228">
        <v>2861.6574000000001</v>
      </c>
      <c r="I228">
        <v>0</v>
      </c>
    </row>
    <row r="229" spans="1:17" x14ac:dyDescent="0.2">
      <c r="A229" t="s">
        <v>327</v>
      </c>
      <c r="B229">
        <v>3386700</v>
      </c>
      <c r="C229">
        <v>132103</v>
      </c>
      <c r="D229">
        <v>0</v>
      </c>
      <c r="E229">
        <v>380042763</v>
      </c>
      <c r="F229">
        <v>110.7333</v>
      </c>
      <c r="G229">
        <v>3.875</v>
      </c>
      <c r="H229">
        <v>2857.6466999999998</v>
      </c>
      <c r="I229">
        <v>0</v>
      </c>
    </row>
    <row r="230" spans="1:17" x14ac:dyDescent="0.2">
      <c r="A230" t="s">
        <v>328</v>
      </c>
      <c r="B230">
        <v>3415444</v>
      </c>
      <c r="C230">
        <v>126010</v>
      </c>
      <c r="D230">
        <v>0</v>
      </c>
      <c r="E230">
        <v>361033941</v>
      </c>
      <c r="F230">
        <v>110.3826</v>
      </c>
      <c r="G230">
        <v>3.8513999999999999</v>
      </c>
      <c r="H230">
        <v>2866.0704999999998</v>
      </c>
      <c r="I230">
        <v>0</v>
      </c>
    </row>
    <row r="231" spans="1:17" x14ac:dyDescent="0.2">
      <c r="A231" t="s">
        <v>329</v>
      </c>
      <c r="B231">
        <v>3428259</v>
      </c>
      <c r="C231">
        <v>121786</v>
      </c>
      <c r="D231">
        <v>0</v>
      </c>
      <c r="E231">
        <v>347709701</v>
      </c>
      <c r="F231">
        <v>108.20180000000001</v>
      </c>
      <c r="G231">
        <v>3.7654000000000001</v>
      </c>
      <c r="H231">
        <v>2873.5731000000001</v>
      </c>
      <c r="I231">
        <v>0</v>
      </c>
    </row>
    <row r="232" spans="1:17" x14ac:dyDescent="0.2">
      <c r="A232" t="s">
        <v>330</v>
      </c>
      <c r="B232">
        <v>3430271</v>
      </c>
      <c r="C232">
        <v>129255</v>
      </c>
      <c r="D232">
        <v>0</v>
      </c>
      <c r="E232">
        <v>373723877</v>
      </c>
      <c r="F232">
        <v>107.0599</v>
      </c>
      <c r="G232">
        <v>3.7271999999999998</v>
      </c>
      <c r="H232">
        <v>2872.4321</v>
      </c>
      <c r="I232">
        <v>0</v>
      </c>
    </row>
    <row r="233" spans="1:17" x14ac:dyDescent="0.2">
      <c r="A233" t="s">
        <v>331</v>
      </c>
      <c r="B233">
        <v>26708071</v>
      </c>
      <c r="C233">
        <v>1074883</v>
      </c>
      <c r="D233">
        <v>0</v>
      </c>
      <c r="E233">
        <v>2666874503</v>
      </c>
      <c r="F233">
        <v>99.852800000000002</v>
      </c>
      <c r="G233">
        <v>4.0246000000000004</v>
      </c>
      <c r="H233">
        <v>2481.0835000000002</v>
      </c>
      <c r="I233">
        <v>0</v>
      </c>
    </row>
    <row r="234" spans="1:17" x14ac:dyDescent="0.2">
      <c r="A234" t="s">
        <v>332</v>
      </c>
      <c r="B234">
        <v>27246180</v>
      </c>
      <c r="C234">
        <v>1004991</v>
      </c>
      <c r="D234">
        <v>0</v>
      </c>
      <c r="E234">
        <v>2480238055</v>
      </c>
      <c r="F234">
        <v>95.3977</v>
      </c>
      <c r="G234">
        <v>3.8549000000000002</v>
      </c>
      <c r="H234">
        <v>2474.7233000000001</v>
      </c>
      <c r="I234">
        <v>0</v>
      </c>
    </row>
    <row r="235" spans="1:17" x14ac:dyDescent="0.2">
      <c r="A235" t="s">
        <v>333</v>
      </c>
      <c r="B235">
        <v>27443885</v>
      </c>
      <c r="C235">
        <v>1002434</v>
      </c>
      <c r="D235">
        <v>0</v>
      </c>
      <c r="E235">
        <v>2507703958</v>
      </c>
      <c r="F235">
        <v>94.041700000000006</v>
      </c>
      <c r="G235">
        <v>3.7867000000000002</v>
      </c>
      <c r="H235">
        <v>2483.4690000000001</v>
      </c>
      <c r="I235">
        <v>0</v>
      </c>
    </row>
    <row r="236" spans="1:17" x14ac:dyDescent="0.2">
      <c r="A236" t="s">
        <v>334</v>
      </c>
      <c r="B236">
        <v>27457077</v>
      </c>
      <c r="C236">
        <v>1004390</v>
      </c>
      <c r="D236">
        <v>0</v>
      </c>
      <c r="E236">
        <v>2548028902</v>
      </c>
      <c r="F236">
        <v>93.7286</v>
      </c>
      <c r="G236">
        <v>3.7543000000000002</v>
      </c>
      <c r="H236">
        <v>2496.5988000000002</v>
      </c>
      <c r="I236">
        <v>0</v>
      </c>
    </row>
    <row r="237" spans="1:17" x14ac:dyDescent="0.2">
      <c r="A237" t="s">
        <v>335</v>
      </c>
      <c r="B237">
        <v>27462039</v>
      </c>
      <c r="C237">
        <v>1073391</v>
      </c>
      <c r="D237">
        <v>0</v>
      </c>
      <c r="E237">
        <v>2719705203</v>
      </c>
      <c r="F237">
        <v>93.565799999999996</v>
      </c>
      <c r="G237">
        <v>3.7271000000000001</v>
      </c>
      <c r="H237">
        <v>2510.4427999999998</v>
      </c>
      <c r="I237">
        <v>0</v>
      </c>
    </row>
    <row r="238" spans="1:17" x14ac:dyDescent="0.2">
      <c r="A238" t="s">
        <v>336</v>
      </c>
      <c r="B238">
        <v>27836428</v>
      </c>
      <c r="C238">
        <v>1030031</v>
      </c>
      <c r="D238">
        <v>0</v>
      </c>
      <c r="E238">
        <v>2612421623</v>
      </c>
      <c r="F238">
        <v>94.264200000000002</v>
      </c>
      <c r="G238">
        <v>3.7298</v>
      </c>
      <c r="H238">
        <v>2527.3085000000001</v>
      </c>
      <c r="I238">
        <v>0</v>
      </c>
    </row>
    <row r="239" spans="1:17" x14ac:dyDescent="0.2">
      <c r="A239" t="s">
        <v>337</v>
      </c>
      <c r="B239">
        <v>28058617</v>
      </c>
      <c r="C239">
        <v>1026407</v>
      </c>
      <c r="D239">
        <v>0</v>
      </c>
      <c r="E239">
        <v>2639717019</v>
      </c>
      <c r="F239">
        <v>94.932599999999994</v>
      </c>
      <c r="G239">
        <v>3.7307999999999999</v>
      </c>
      <c r="H239">
        <v>2544.5853000000002</v>
      </c>
      <c r="I239">
        <v>0</v>
      </c>
    </row>
    <row r="240" spans="1:17" x14ac:dyDescent="0.2">
      <c r="A240" t="s">
        <v>338</v>
      </c>
      <c r="B240">
        <v>28056932</v>
      </c>
      <c r="C240">
        <v>986873</v>
      </c>
      <c r="D240">
        <v>0</v>
      </c>
      <c r="E240">
        <v>2597418201</v>
      </c>
      <c r="F240">
        <v>94.864699999999999</v>
      </c>
      <c r="G240">
        <v>3.6949999999999998</v>
      </c>
      <c r="H240">
        <v>2567.41</v>
      </c>
      <c r="I240">
        <v>0</v>
      </c>
    </row>
    <row r="241" spans="1:9" x14ac:dyDescent="0.2">
      <c r="A241" t="s">
        <v>339</v>
      </c>
      <c r="B241">
        <v>28039694</v>
      </c>
      <c r="C241">
        <v>1056890</v>
      </c>
      <c r="D241">
        <v>0</v>
      </c>
      <c r="E241">
        <v>2794668092</v>
      </c>
      <c r="F241">
        <v>95.044799999999995</v>
      </c>
      <c r="G241">
        <v>3.6612</v>
      </c>
      <c r="H241">
        <v>2596.0252</v>
      </c>
      <c r="I241">
        <v>0</v>
      </c>
    </row>
    <row r="242" spans="1:9" x14ac:dyDescent="0.2">
      <c r="A242" t="s">
        <v>340</v>
      </c>
      <c r="B242">
        <v>28419330</v>
      </c>
      <c r="C242">
        <v>996229</v>
      </c>
      <c r="D242">
        <v>0</v>
      </c>
      <c r="E242">
        <v>2627747676</v>
      </c>
      <c r="F242">
        <v>94.688800000000001</v>
      </c>
      <c r="G242">
        <v>3.6122000000000001</v>
      </c>
      <c r="H242">
        <v>2621.3735999999999</v>
      </c>
      <c r="I242">
        <v>0</v>
      </c>
    </row>
    <row r="243" spans="1:9" x14ac:dyDescent="0.2">
      <c r="A243" t="s">
        <v>341</v>
      </c>
      <c r="B243">
        <v>28557599</v>
      </c>
      <c r="C243">
        <v>985748</v>
      </c>
      <c r="D243">
        <v>0</v>
      </c>
      <c r="E243">
        <v>2622843867</v>
      </c>
      <c r="F243">
        <v>94.121700000000004</v>
      </c>
      <c r="G243">
        <v>3.5602999999999998</v>
      </c>
      <c r="H243">
        <v>2643.6574999999998</v>
      </c>
      <c r="I243">
        <v>0</v>
      </c>
    </row>
    <row r="244" spans="1:9" x14ac:dyDescent="0.2">
      <c r="A244" t="s">
        <v>342</v>
      </c>
      <c r="B244">
        <v>28481915</v>
      </c>
      <c r="C244">
        <v>1008531</v>
      </c>
      <c r="D244">
        <v>0</v>
      </c>
      <c r="E244">
        <v>2726187612</v>
      </c>
      <c r="F244">
        <v>94.903800000000004</v>
      </c>
      <c r="G244">
        <v>3.5659999999999998</v>
      </c>
      <c r="H244">
        <v>2661.3263999999999</v>
      </c>
      <c r="I244">
        <v>0</v>
      </c>
    </row>
    <row r="245" spans="1:9" x14ac:dyDescent="0.2">
      <c r="A245" t="s">
        <v>343</v>
      </c>
      <c r="B245">
        <v>28451175</v>
      </c>
      <c r="C245">
        <v>1060951</v>
      </c>
      <c r="D245">
        <v>0</v>
      </c>
      <c r="E245">
        <v>2881809921</v>
      </c>
      <c r="F245">
        <v>95.325999999999993</v>
      </c>
      <c r="G245">
        <v>3.5567000000000002</v>
      </c>
      <c r="H245">
        <v>2680.1676000000002</v>
      </c>
      <c r="I245">
        <v>0</v>
      </c>
    </row>
    <row r="246" spans="1:9" x14ac:dyDescent="0.2">
      <c r="A246" t="s">
        <v>344</v>
      </c>
      <c r="B246">
        <v>28780716</v>
      </c>
      <c r="C246">
        <v>1027269</v>
      </c>
      <c r="D246">
        <v>0</v>
      </c>
      <c r="E246">
        <v>2765131453</v>
      </c>
      <c r="F246">
        <v>96.226799999999997</v>
      </c>
      <c r="G246">
        <v>3.5726</v>
      </c>
      <c r="H246">
        <v>2693.4416999999999</v>
      </c>
      <c r="I246">
        <v>0</v>
      </c>
    </row>
    <row r="247" spans="1:9" x14ac:dyDescent="0.2">
      <c r="A247" t="s">
        <v>345</v>
      </c>
      <c r="B247">
        <v>28877225</v>
      </c>
      <c r="C247">
        <v>1006279</v>
      </c>
      <c r="D247">
        <v>0</v>
      </c>
      <c r="E247">
        <v>2743147502</v>
      </c>
      <c r="F247">
        <v>97.008300000000006</v>
      </c>
      <c r="G247">
        <v>3.5806</v>
      </c>
      <c r="H247">
        <v>2709.2847000000002</v>
      </c>
      <c r="I247">
        <v>0</v>
      </c>
    </row>
    <row r="248" spans="1:9" x14ac:dyDescent="0.2">
      <c r="A248" t="s">
        <v>346</v>
      </c>
      <c r="B248">
        <v>28751030</v>
      </c>
      <c r="C248">
        <v>1031094</v>
      </c>
      <c r="D248">
        <v>0</v>
      </c>
      <c r="E248">
        <v>2824720233</v>
      </c>
      <c r="F248">
        <v>97.638800000000003</v>
      </c>
      <c r="G248">
        <v>3.5918000000000001</v>
      </c>
      <c r="H248">
        <v>2718.3508000000002</v>
      </c>
      <c r="I248">
        <v>0</v>
      </c>
    </row>
    <row r="249" spans="1:9" x14ac:dyDescent="0.2">
      <c r="A249" t="s">
        <v>347</v>
      </c>
      <c r="B249">
        <v>28790414</v>
      </c>
      <c r="C249">
        <v>1066954</v>
      </c>
      <c r="D249">
        <v>0</v>
      </c>
      <c r="E249">
        <v>2964152673</v>
      </c>
      <c r="F249">
        <v>98.066100000000006</v>
      </c>
      <c r="G249">
        <v>3.5865</v>
      </c>
      <c r="H249">
        <v>2734.3312000000001</v>
      </c>
      <c r="I249">
        <v>0</v>
      </c>
    </row>
    <row r="250" spans="1:9" x14ac:dyDescent="0.2">
      <c r="A250" t="s">
        <v>348</v>
      </c>
      <c r="B250">
        <v>29081715</v>
      </c>
      <c r="C250">
        <v>1012299</v>
      </c>
      <c r="D250">
        <v>0</v>
      </c>
      <c r="E250">
        <v>2781195429</v>
      </c>
      <c r="F250">
        <v>97.949600000000004</v>
      </c>
      <c r="G250">
        <v>3.5642</v>
      </c>
      <c r="H250">
        <v>2748.1767</v>
      </c>
      <c r="I250">
        <v>0</v>
      </c>
    </row>
    <row r="251" spans="1:9" x14ac:dyDescent="0.2">
      <c r="A251" t="s">
        <v>349</v>
      </c>
      <c r="B251">
        <v>29179545</v>
      </c>
      <c r="C251">
        <v>979033</v>
      </c>
      <c r="D251">
        <v>0</v>
      </c>
      <c r="E251">
        <v>2707582894</v>
      </c>
      <c r="F251">
        <v>97.386799999999994</v>
      </c>
      <c r="G251">
        <v>3.5312999999999999</v>
      </c>
      <c r="H251">
        <v>2757.79</v>
      </c>
      <c r="I251">
        <v>0</v>
      </c>
    </row>
    <row r="252" spans="1:9" x14ac:dyDescent="0.2">
      <c r="A252" t="s">
        <v>350</v>
      </c>
      <c r="B252">
        <v>29032156</v>
      </c>
      <c r="C252">
        <v>968912</v>
      </c>
      <c r="D252">
        <v>0</v>
      </c>
      <c r="E252">
        <v>2717652466</v>
      </c>
      <c r="F252">
        <v>96.2286</v>
      </c>
      <c r="G252">
        <v>3.4691999999999998</v>
      </c>
      <c r="H252">
        <v>2773.7855</v>
      </c>
      <c r="I252">
        <v>0</v>
      </c>
    </row>
    <row r="253" spans="1:9" x14ac:dyDescent="0.2">
      <c r="A253" t="s">
        <v>351</v>
      </c>
      <c r="B253">
        <v>28903005</v>
      </c>
      <c r="C253">
        <v>1053824</v>
      </c>
      <c r="D253">
        <v>0</v>
      </c>
      <c r="E253">
        <v>2931421599</v>
      </c>
      <c r="F253">
        <v>95.853700000000003</v>
      </c>
      <c r="G253">
        <v>3.4546000000000001</v>
      </c>
      <c r="H253">
        <v>2774.7044999999998</v>
      </c>
      <c r="I253">
        <v>0</v>
      </c>
    </row>
    <row r="254" spans="1:9" x14ac:dyDescent="0.2">
      <c r="A254" t="s">
        <v>352</v>
      </c>
      <c r="B254">
        <v>5931638</v>
      </c>
      <c r="C254">
        <v>105274</v>
      </c>
      <c r="D254">
        <v>138799</v>
      </c>
      <c r="E254">
        <v>714107498</v>
      </c>
      <c r="F254">
        <v>120.3896</v>
      </c>
      <c r="G254">
        <v>1.7747999999999999</v>
      </c>
      <c r="H254">
        <v>6783.3225000000002</v>
      </c>
      <c r="I254">
        <v>2.34</v>
      </c>
    </row>
    <row r="255" spans="1:9" x14ac:dyDescent="0.2">
      <c r="A255" t="s">
        <v>353</v>
      </c>
      <c r="B255">
        <v>6015828</v>
      </c>
      <c r="C255">
        <v>100269</v>
      </c>
      <c r="D255">
        <v>136075</v>
      </c>
      <c r="E255">
        <v>682224278</v>
      </c>
      <c r="F255">
        <v>116.87260000000001</v>
      </c>
      <c r="G255">
        <v>1.7203999999999999</v>
      </c>
      <c r="H255">
        <v>6793.3802999999998</v>
      </c>
      <c r="I255">
        <v>2.3007</v>
      </c>
    </row>
    <row r="256" spans="1:9" x14ac:dyDescent="0.2">
      <c r="A256" t="s">
        <v>354</v>
      </c>
      <c r="B256">
        <v>6071562</v>
      </c>
      <c r="C256">
        <v>100017</v>
      </c>
      <c r="D256">
        <v>138106</v>
      </c>
      <c r="E256">
        <v>701545198</v>
      </c>
      <c r="F256">
        <v>116.4256</v>
      </c>
      <c r="G256">
        <v>1.6958</v>
      </c>
      <c r="H256">
        <v>6865.6792999999998</v>
      </c>
      <c r="I256">
        <v>2.2919</v>
      </c>
    </row>
    <row r="257" spans="1:9" x14ac:dyDescent="0.2">
      <c r="A257" t="s">
        <v>355</v>
      </c>
      <c r="B257">
        <v>6074811</v>
      </c>
      <c r="C257">
        <v>96578</v>
      </c>
      <c r="D257">
        <v>146715</v>
      </c>
      <c r="E257">
        <v>655954305</v>
      </c>
      <c r="F257">
        <v>114.2961</v>
      </c>
      <c r="G257">
        <v>1.669</v>
      </c>
      <c r="H257">
        <v>6847.9758000000002</v>
      </c>
      <c r="I257">
        <v>2.323</v>
      </c>
    </row>
    <row r="258" spans="1:9" x14ac:dyDescent="0.2">
      <c r="A258" t="s">
        <v>356</v>
      </c>
      <c r="B258">
        <v>6046297</v>
      </c>
      <c r="C258">
        <v>98125</v>
      </c>
      <c r="D258">
        <v>139413</v>
      </c>
      <c r="E258">
        <v>726810667</v>
      </c>
      <c r="F258">
        <v>114.2795</v>
      </c>
      <c r="G258">
        <v>1.6315999999999999</v>
      </c>
      <c r="H258">
        <v>7004.0797000000002</v>
      </c>
      <c r="I258">
        <v>2.3144999999999998</v>
      </c>
    </row>
    <row r="259" spans="1:9" x14ac:dyDescent="0.2">
      <c r="A259" t="s">
        <v>357</v>
      </c>
      <c r="B259">
        <v>6123183</v>
      </c>
      <c r="C259">
        <v>96158</v>
      </c>
      <c r="D259">
        <v>136123</v>
      </c>
      <c r="E259">
        <v>711899664</v>
      </c>
      <c r="F259">
        <v>114.9953</v>
      </c>
      <c r="G259">
        <v>1.6074999999999999</v>
      </c>
      <c r="H259">
        <v>7153.6638999999996</v>
      </c>
      <c r="I259">
        <v>2.3045</v>
      </c>
    </row>
    <row r="260" spans="1:9" x14ac:dyDescent="0.2">
      <c r="A260" t="s">
        <v>358</v>
      </c>
      <c r="B260">
        <v>6177629</v>
      </c>
      <c r="C260">
        <v>99965</v>
      </c>
      <c r="D260">
        <v>133123</v>
      </c>
      <c r="E260">
        <v>689070405</v>
      </c>
      <c r="F260">
        <v>113.9851</v>
      </c>
      <c r="G260">
        <v>1.6003000000000001</v>
      </c>
      <c r="H260">
        <v>7122.6967000000004</v>
      </c>
      <c r="I260">
        <v>2.2740999999999998</v>
      </c>
    </row>
    <row r="261" spans="1:9" x14ac:dyDescent="0.2">
      <c r="A261" t="s">
        <v>359</v>
      </c>
      <c r="B261">
        <v>6183884</v>
      </c>
      <c r="C261">
        <v>94981</v>
      </c>
      <c r="D261">
        <v>136938</v>
      </c>
      <c r="E261">
        <v>667121348</v>
      </c>
      <c r="F261">
        <v>113.9335</v>
      </c>
      <c r="G261">
        <v>1.5867</v>
      </c>
      <c r="H261">
        <v>7180.6111000000001</v>
      </c>
      <c r="I261">
        <v>2.2241</v>
      </c>
    </row>
    <row r="262" spans="1:9" x14ac:dyDescent="0.2">
      <c r="A262" t="s">
        <v>360</v>
      </c>
      <c r="B262">
        <v>6169620</v>
      </c>
      <c r="C262">
        <v>99726</v>
      </c>
      <c r="D262">
        <v>132215</v>
      </c>
      <c r="E262">
        <v>715024899</v>
      </c>
      <c r="F262">
        <v>112.8856</v>
      </c>
      <c r="G262">
        <v>1.5851999999999999</v>
      </c>
      <c r="H262">
        <v>7121.0406000000003</v>
      </c>
      <c r="I262">
        <v>2.1838000000000002</v>
      </c>
    </row>
    <row r="263" spans="1:9" x14ac:dyDescent="0.2">
      <c r="A263" t="s">
        <v>361</v>
      </c>
      <c r="B263">
        <v>6261689</v>
      </c>
      <c r="C263">
        <v>95897</v>
      </c>
      <c r="D263">
        <v>128796</v>
      </c>
      <c r="E263">
        <v>689620533</v>
      </c>
      <c r="F263">
        <v>111.3563</v>
      </c>
      <c r="G263">
        <v>1.5752999999999999</v>
      </c>
      <c r="H263">
        <v>7068.7565999999997</v>
      </c>
      <c r="I263">
        <v>2.1419999999999999</v>
      </c>
    </row>
    <row r="264" spans="1:9" x14ac:dyDescent="0.2">
      <c r="A264" t="s">
        <v>362</v>
      </c>
      <c r="B264">
        <v>6310909</v>
      </c>
      <c r="C264">
        <v>90683</v>
      </c>
      <c r="D264">
        <v>128357</v>
      </c>
      <c r="E264">
        <v>671248052</v>
      </c>
      <c r="F264">
        <v>110.0459</v>
      </c>
      <c r="G264">
        <v>1.5297000000000001</v>
      </c>
      <c r="H264">
        <v>7194.0947999999999</v>
      </c>
      <c r="I264">
        <v>2.1114999999999999</v>
      </c>
    </row>
    <row r="265" spans="1:9" x14ac:dyDescent="0.2">
      <c r="A265" t="s">
        <v>363</v>
      </c>
      <c r="B265">
        <v>6309852</v>
      </c>
      <c r="C265">
        <v>89597</v>
      </c>
      <c r="D265">
        <v>135599</v>
      </c>
      <c r="E265">
        <v>689406927</v>
      </c>
      <c r="F265">
        <v>110.38209999999999</v>
      </c>
      <c r="G265">
        <v>1.5004999999999999</v>
      </c>
      <c r="H265">
        <v>7356.4201999999996</v>
      </c>
      <c r="I265">
        <v>2.0954999999999999</v>
      </c>
    </row>
    <row r="266" spans="1:9" x14ac:dyDescent="0.2">
      <c r="A266" t="s">
        <v>364</v>
      </c>
      <c r="B266">
        <v>6299869</v>
      </c>
      <c r="C266">
        <v>95122</v>
      </c>
      <c r="D266">
        <v>135214</v>
      </c>
      <c r="E266">
        <v>723211706</v>
      </c>
      <c r="F266">
        <v>110.13630000000001</v>
      </c>
      <c r="G266">
        <v>1.4743999999999999</v>
      </c>
      <c r="H266">
        <v>7469.6867000000002</v>
      </c>
      <c r="I266">
        <v>2.0966</v>
      </c>
    </row>
    <row r="267" spans="1:9" x14ac:dyDescent="0.2">
      <c r="A267" t="s">
        <v>365</v>
      </c>
      <c r="B267">
        <v>6382792</v>
      </c>
      <c r="C267">
        <v>92958</v>
      </c>
      <c r="D267">
        <v>129527</v>
      </c>
      <c r="E267">
        <v>703391636</v>
      </c>
      <c r="F267">
        <v>110.1534</v>
      </c>
      <c r="G267">
        <v>1.4558</v>
      </c>
      <c r="H267">
        <v>7566.6692999999996</v>
      </c>
      <c r="I267">
        <v>2.0893999999999999</v>
      </c>
    </row>
    <row r="268" spans="1:9" x14ac:dyDescent="0.2">
      <c r="A268" t="s">
        <v>366</v>
      </c>
      <c r="B268">
        <v>6427949</v>
      </c>
      <c r="C268">
        <v>89031</v>
      </c>
      <c r="D268">
        <v>130273</v>
      </c>
      <c r="E268">
        <v>704302239</v>
      </c>
      <c r="F268">
        <v>110.9465</v>
      </c>
      <c r="G268">
        <v>1.4426000000000001</v>
      </c>
      <c r="H268">
        <v>7690.8944000000001</v>
      </c>
      <c r="I268">
        <v>2.0872999999999999</v>
      </c>
    </row>
    <row r="269" spans="1:9" x14ac:dyDescent="0.2">
      <c r="A269" t="s">
        <v>367</v>
      </c>
      <c r="B269">
        <v>6028694</v>
      </c>
      <c r="C269">
        <v>88258</v>
      </c>
      <c r="D269">
        <v>134722</v>
      </c>
      <c r="E269">
        <v>722442897</v>
      </c>
      <c r="F269">
        <v>113.50149999999999</v>
      </c>
      <c r="G269">
        <v>1.4534</v>
      </c>
      <c r="H269">
        <v>7809.4979999999996</v>
      </c>
      <c r="I269">
        <v>2.1072000000000002</v>
      </c>
    </row>
    <row r="270" spans="1:9" x14ac:dyDescent="0.2">
      <c r="A270" t="s">
        <v>368</v>
      </c>
      <c r="B270">
        <v>6420700</v>
      </c>
      <c r="C270">
        <v>90684</v>
      </c>
      <c r="D270">
        <v>132527</v>
      </c>
      <c r="E270">
        <v>712751386</v>
      </c>
      <c r="F270">
        <v>112.5445</v>
      </c>
      <c r="G270">
        <v>1.4289000000000001</v>
      </c>
      <c r="H270">
        <v>7876.5419000000002</v>
      </c>
      <c r="I270">
        <v>2.0865</v>
      </c>
    </row>
    <row r="271" spans="1:9" x14ac:dyDescent="0.2">
      <c r="A271" t="s">
        <v>369</v>
      </c>
      <c r="B271">
        <v>6495540</v>
      </c>
      <c r="C271">
        <v>86827</v>
      </c>
      <c r="D271">
        <v>126079</v>
      </c>
      <c r="E271">
        <v>728832317</v>
      </c>
      <c r="F271">
        <v>113.047</v>
      </c>
      <c r="G271">
        <v>1.3983000000000001</v>
      </c>
      <c r="H271">
        <v>8084.3540999999996</v>
      </c>
      <c r="I271">
        <v>2.0636000000000001</v>
      </c>
    </row>
    <row r="272" spans="1:9" x14ac:dyDescent="0.2">
      <c r="A272" t="s">
        <v>370</v>
      </c>
      <c r="B272">
        <v>6532213</v>
      </c>
      <c r="C272">
        <v>85308</v>
      </c>
      <c r="D272">
        <v>125324</v>
      </c>
      <c r="E272">
        <v>722339528</v>
      </c>
      <c r="F272">
        <v>113.2924</v>
      </c>
      <c r="G272">
        <v>1.3779999999999999</v>
      </c>
      <c r="H272">
        <v>8221.4617999999991</v>
      </c>
      <c r="I272">
        <v>2.0358000000000001</v>
      </c>
    </row>
    <row r="273" spans="1:9" x14ac:dyDescent="0.2">
      <c r="A273" t="s">
        <v>371</v>
      </c>
      <c r="B273">
        <v>6519050</v>
      </c>
      <c r="C273">
        <v>88140</v>
      </c>
      <c r="D273">
        <v>137958</v>
      </c>
      <c r="E273">
        <v>757393501</v>
      </c>
      <c r="F273">
        <v>112.49890000000001</v>
      </c>
      <c r="G273">
        <v>1.3514999999999999</v>
      </c>
      <c r="H273">
        <v>8323.8119999999999</v>
      </c>
      <c r="I273">
        <v>2.0097999999999998</v>
      </c>
    </row>
    <row r="274" spans="1:9" x14ac:dyDescent="0.2">
      <c r="A274" t="s">
        <v>372</v>
      </c>
      <c r="B274">
        <v>6467269</v>
      </c>
      <c r="C274">
        <v>92989</v>
      </c>
      <c r="D274">
        <v>135009</v>
      </c>
      <c r="E274">
        <v>814311850</v>
      </c>
      <c r="F274">
        <v>116.2016</v>
      </c>
      <c r="G274">
        <v>1.3580000000000001</v>
      </c>
      <c r="H274">
        <v>8556.9919000000009</v>
      </c>
      <c r="I274">
        <v>2.0156999999999998</v>
      </c>
    </row>
    <row r="275" spans="1:9" x14ac:dyDescent="0.2">
      <c r="A275" t="s">
        <v>373</v>
      </c>
      <c r="B275">
        <v>758989</v>
      </c>
      <c r="C275">
        <v>5727</v>
      </c>
      <c r="D275">
        <v>0</v>
      </c>
      <c r="E275">
        <v>9748318</v>
      </c>
      <c r="F275">
        <v>12.8438</v>
      </c>
      <c r="G275">
        <v>0.75460000000000005</v>
      </c>
      <c r="H275">
        <v>1702.1683</v>
      </c>
      <c r="I275">
        <v>0</v>
      </c>
    </row>
    <row r="276" spans="1:9" x14ac:dyDescent="0.2">
      <c r="A276" t="s">
        <v>374</v>
      </c>
      <c r="B276">
        <v>770330</v>
      </c>
      <c r="C276">
        <v>4994</v>
      </c>
      <c r="D276">
        <v>0</v>
      </c>
      <c r="E276">
        <v>10160344</v>
      </c>
      <c r="F276">
        <v>13.018000000000001</v>
      </c>
      <c r="G276">
        <v>0.70099999999999996</v>
      </c>
      <c r="H276">
        <v>1856.9781</v>
      </c>
      <c r="I276">
        <v>0</v>
      </c>
    </row>
    <row r="277" spans="1:9" x14ac:dyDescent="0.2">
      <c r="A277" t="s">
        <v>375</v>
      </c>
      <c r="B277">
        <v>772925</v>
      </c>
      <c r="C277">
        <v>5135</v>
      </c>
      <c r="D277">
        <v>0</v>
      </c>
      <c r="E277">
        <v>9019500</v>
      </c>
      <c r="F277">
        <v>12.565200000000001</v>
      </c>
      <c r="G277">
        <v>0.68869999999999998</v>
      </c>
      <c r="H277">
        <v>1824.43</v>
      </c>
      <c r="I277">
        <v>0</v>
      </c>
    </row>
    <row r="278" spans="1:9" x14ac:dyDescent="0.2">
      <c r="A278" t="s">
        <v>376</v>
      </c>
      <c r="B278">
        <v>756984</v>
      </c>
      <c r="C278">
        <v>4726</v>
      </c>
      <c r="D278">
        <v>0</v>
      </c>
      <c r="E278">
        <v>8550019</v>
      </c>
      <c r="F278">
        <v>12.2509</v>
      </c>
      <c r="G278">
        <v>0.67279999999999995</v>
      </c>
      <c r="H278">
        <v>1820.9203</v>
      </c>
      <c r="I278">
        <v>0</v>
      </c>
    </row>
    <row r="279" spans="1:9" x14ac:dyDescent="0.2">
      <c r="A279" t="s">
        <v>377</v>
      </c>
      <c r="B279">
        <v>742005</v>
      </c>
      <c r="C279">
        <v>5498</v>
      </c>
      <c r="D279">
        <v>0</v>
      </c>
      <c r="E279">
        <v>10165601</v>
      </c>
      <c r="F279">
        <v>12.4564</v>
      </c>
      <c r="G279">
        <v>0.66900000000000004</v>
      </c>
      <c r="H279">
        <v>1861.9105</v>
      </c>
      <c r="I279">
        <v>0</v>
      </c>
    </row>
    <row r="280" spans="1:9" x14ac:dyDescent="0.2">
      <c r="A280" t="s">
        <v>378</v>
      </c>
      <c r="B280">
        <v>754305</v>
      </c>
      <c r="C280">
        <v>5327</v>
      </c>
      <c r="D280">
        <v>0</v>
      </c>
      <c r="E280">
        <v>9393643</v>
      </c>
      <c r="F280">
        <v>12.269</v>
      </c>
      <c r="G280">
        <v>0.68359999999999999</v>
      </c>
      <c r="H280">
        <v>1794.874</v>
      </c>
      <c r="I280">
        <v>0</v>
      </c>
    </row>
    <row r="281" spans="1:9" x14ac:dyDescent="0.2">
      <c r="A281" t="s">
        <v>379</v>
      </c>
      <c r="B281">
        <v>757716</v>
      </c>
      <c r="C281">
        <v>5167</v>
      </c>
      <c r="D281">
        <v>0</v>
      </c>
      <c r="E281">
        <v>8912026</v>
      </c>
      <c r="F281">
        <v>12.295299999999999</v>
      </c>
      <c r="G281">
        <v>0.68810000000000004</v>
      </c>
      <c r="H281">
        <v>1786.9141999999999</v>
      </c>
      <c r="I281">
        <v>0</v>
      </c>
    </row>
    <row r="282" spans="1:9" x14ac:dyDescent="0.2">
      <c r="A282" t="s">
        <v>380</v>
      </c>
      <c r="B282">
        <v>740504</v>
      </c>
      <c r="C282">
        <v>4354</v>
      </c>
      <c r="D282">
        <v>0</v>
      </c>
      <c r="E282">
        <v>7934043</v>
      </c>
      <c r="F282">
        <v>12.157299999999999</v>
      </c>
      <c r="G282">
        <v>0.6794</v>
      </c>
      <c r="H282">
        <v>1789.3106</v>
      </c>
      <c r="I282">
        <v>0</v>
      </c>
    </row>
    <row r="283" spans="1:9" x14ac:dyDescent="0.2">
      <c r="A283" t="s">
        <v>381</v>
      </c>
      <c r="B283">
        <v>726739</v>
      </c>
      <c r="C283">
        <v>5257</v>
      </c>
      <c r="D283">
        <v>0</v>
      </c>
      <c r="E283">
        <v>10829575</v>
      </c>
      <c r="F283">
        <v>12.442399999999999</v>
      </c>
      <c r="G283">
        <v>0.67479999999999996</v>
      </c>
      <c r="H283">
        <v>1843.7845</v>
      </c>
      <c r="I283">
        <v>0</v>
      </c>
    </row>
    <row r="284" spans="1:9" x14ac:dyDescent="0.2">
      <c r="A284" t="s">
        <v>382</v>
      </c>
      <c r="B284">
        <v>736741</v>
      </c>
      <c r="C284">
        <v>4569</v>
      </c>
      <c r="D284">
        <v>0</v>
      </c>
      <c r="E284">
        <v>9369279</v>
      </c>
      <c r="F284">
        <v>12.507999999999999</v>
      </c>
      <c r="G284">
        <v>0.6532</v>
      </c>
      <c r="H284">
        <v>1914.7632000000001</v>
      </c>
      <c r="I284">
        <v>0</v>
      </c>
    </row>
    <row r="285" spans="1:9" x14ac:dyDescent="0.2">
      <c r="A285" t="s">
        <v>383</v>
      </c>
      <c r="B285">
        <v>735225</v>
      </c>
      <c r="C285">
        <v>4916</v>
      </c>
      <c r="D285">
        <v>0</v>
      </c>
      <c r="E285">
        <v>9279617</v>
      </c>
      <c r="F285">
        <v>12.7288</v>
      </c>
      <c r="G285">
        <v>0.64970000000000006</v>
      </c>
      <c r="H285">
        <v>1959.1806999999999</v>
      </c>
      <c r="I285">
        <v>0</v>
      </c>
    </row>
    <row r="286" spans="1:9" x14ac:dyDescent="0.2">
      <c r="A286" t="s">
        <v>384</v>
      </c>
      <c r="B286">
        <v>715330</v>
      </c>
      <c r="C286">
        <v>4334</v>
      </c>
      <c r="D286">
        <v>0</v>
      </c>
      <c r="E286">
        <v>8749571</v>
      </c>
      <c r="F286">
        <v>13.118600000000001</v>
      </c>
      <c r="G286">
        <v>0.65459999999999996</v>
      </c>
      <c r="H286">
        <v>2003.9863</v>
      </c>
      <c r="I286">
        <v>0</v>
      </c>
    </row>
    <row r="287" spans="1:9" x14ac:dyDescent="0.2">
      <c r="A287" t="s">
        <v>385</v>
      </c>
      <c r="B287">
        <v>705201</v>
      </c>
      <c r="C287">
        <v>4713</v>
      </c>
      <c r="D287">
        <v>0</v>
      </c>
      <c r="E287">
        <v>8642904</v>
      </c>
      <c r="F287">
        <v>12.4603</v>
      </c>
      <c r="G287">
        <v>0.64070000000000005</v>
      </c>
      <c r="H287">
        <v>1944.8181999999999</v>
      </c>
      <c r="I287">
        <v>0</v>
      </c>
    </row>
    <row r="288" spans="1:9" x14ac:dyDescent="0.2">
      <c r="A288" t="s">
        <v>386</v>
      </c>
      <c r="B288">
        <v>719780</v>
      </c>
      <c r="C288">
        <v>4588</v>
      </c>
      <c r="D288">
        <v>0</v>
      </c>
      <c r="E288">
        <v>8534598</v>
      </c>
      <c r="F288">
        <v>12.243499999999999</v>
      </c>
      <c r="G288">
        <v>0.64510000000000001</v>
      </c>
      <c r="H288">
        <v>1897.8325</v>
      </c>
      <c r="I288">
        <v>0</v>
      </c>
    </row>
    <row r="289" spans="1:9" x14ac:dyDescent="0.2">
      <c r="A289" t="s">
        <v>387</v>
      </c>
      <c r="B289">
        <v>724502</v>
      </c>
      <c r="C289">
        <v>4806</v>
      </c>
      <c r="D289">
        <v>0</v>
      </c>
      <c r="E289">
        <v>8449305</v>
      </c>
      <c r="F289">
        <v>11.999499999999999</v>
      </c>
      <c r="G289">
        <v>0.64370000000000005</v>
      </c>
      <c r="H289">
        <v>1864.1277</v>
      </c>
      <c r="I289">
        <v>0</v>
      </c>
    </row>
    <row r="290" spans="1:9" x14ac:dyDescent="0.2">
      <c r="A290" t="s">
        <v>388</v>
      </c>
      <c r="B290">
        <v>710444</v>
      </c>
      <c r="C290">
        <v>4904</v>
      </c>
      <c r="D290">
        <v>0</v>
      </c>
      <c r="E290">
        <v>8728830</v>
      </c>
      <c r="F290">
        <v>12.0128</v>
      </c>
      <c r="G290">
        <v>0.66469999999999996</v>
      </c>
      <c r="H290">
        <v>1807.1451999999999</v>
      </c>
      <c r="I290">
        <v>0</v>
      </c>
    </row>
    <row r="291" spans="1:9" x14ac:dyDescent="0.2">
      <c r="A291" t="s">
        <v>389</v>
      </c>
      <c r="B291">
        <v>707356</v>
      </c>
      <c r="C291">
        <v>5392</v>
      </c>
      <c r="D291">
        <v>0</v>
      </c>
      <c r="E291">
        <v>9664423</v>
      </c>
      <c r="F291">
        <v>12.3606</v>
      </c>
      <c r="G291">
        <v>0.68799999999999994</v>
      </c>
      <c r="H291">
        <v>1796.7067999999999</v>
      </c>
      <c r="I291">
        <v>0</v>
      </c>
    </row>
    <row r="292" spans="1:9" x14ac:dyDescent="0.2">
      <c r="A292" t="s">
        <v>390</v>
      </c>
      <c r="B292">
        <v>723460</v>
      </c>
      <c r="C292">
        <v>5051</v>
      </c>
      <c r="D292">
        <v>0</v>
      </c>
      <c r="E292">
        <v>8607173</v>
      </c>
      <c r="F292">
        <v>12.370100000000001</v>
      </c>
      <c r="G292">
        <v>0.70320000000000005</v>
      </c>
      <c r="H292">
        <v>1759.03</v>
      </c>
      <c r="I292">
        <v>0</v>
      </c>
    </row>
    <row r="293" spans="1:9" x14ac:dyDescent="0.2">
      <c r="A293" t="s">
        <v>391</v>
      </c>
      <c r="B293">
        <v>728499</v>
      </c>
      <c r="C293">
        <v>4968</v>
      </c>
      <c r="D293">
        <v>0</v>
      </c>
      <c r="E293">
        <v>9469623</v>
      </c>
      <c r="F293">
        <v>12.708399999999999</v>
      </c>
      <c r="G293">
        <v>0.70789999999999997</v>
      </c>
      <c r="H293">
        <v>1795.2275999999999</v>
      </c>
      <c r="I293">
        <v>0</v>
      </c>
    </row>
    <row r="294" spans="1:9" x14ac:dyDescent="0.2">
      <c r="A294" t="s">
        <v>392</v>
      </c>
      <c r="B294">
        <v>711878</v>
      </c>
      <c r="C294">
        <v>4471</v>
      </c>
      <c r="D294">
        <v>0</v>
      </c>
      <c r="E294">
        <v>7927553</v>
      </c>
      <c r="F294">
        <v>12.423</v>
      </c>
      <c r="G294">
        <v>0.6925</v>
      </c>
      <c r="H294">
        <v>1794.0233000000001</v>
      </c>
      <c r="I294">
        <v>0</v>
      </c>
    </row>
    <row r="295" spans="1:9" x14ac:dyDescent="0.2">
      <c r="A295" t="s">
        <v>393</v>
      </c>
      <c r="B295">
        <v>704048</v>
      </c>
      <c r="C295">
        <v>5772</v>
      </c>
      <c r="D295">
        <v>0</v>
      </c>
      <c r="E295">
        <v>9873065</v>
      </c>
      <c r="F295">
        <v>12.5101</v>
      </c>
      <c r="G295">
        <v>0.70650000000000002</v>
      </c>
      <c r="H295">
        <v>1770.6749</v>
      </c>
      <c r="I295">
        <v>0</v>
      </c>
    </row>
  </sheetData>
  <mergeCells count="2">
    <mergeCell ref="AB25:AJ25"/>
    <mergeCell ref="AB26:AJ26"/>
  </mergeCells>
  <phoneticPr fontId="6" type="noConversion"/>
  <pageMargins left="0.75" right="0.75" top="1" bottom="1" header="0.5" footer="0.5"/>
  <headerFooter alignWithMargins="0"/>
  <ignoredErrors>
    <ignoredError sqref="S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PurePremiumTrends</vt:lpstr>
      <vt:lpstr>PurePremiumData</vt:lpstr>
      <vt:lpstr>LossRatioData</vt:lpstr>
      <vt:lpstr>Graphs</vt:lpstr>
      <vt:lpstr>InputData</vt:lpstr>
      <vt:lpstr>Sheet5</vt:lpstr>
      <vt:lpstr>_F0910108</vt:lpstr>
      <vt:lpstr>_F0910110</vt:lpstr>
      <vt:lpstr>_F0910120</vt:lpstr>
      <vt:lpstr>_F0919901</vt:lpstr>
      <vt:lpstr>_F0919904</vt:lpstr>
      <vt:lpstr>_F0919910</vt:lpstr>
      <vt:lpstr>_F0919920</vt:lpstr>
      <vt:lpstr>_F0919979</vt:lpstr>
      <vt:lpstr>_F0919981</vt:lpstr>
      <vt:lpstr>_PPI1</vt:lpstr>
      <vt:lpstr>PIP</vt:lpstr>
      <vt:lpstr>PPI</vt:lpstr>
      <vt:lpstr>State</vt:lpstr>
      <vt:lpstr>State2</vt:lpstr>
      <vt:lpstr>State3</vt:lpstr>
      <vt:lpstr>State4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Sobelman, Ari</cp:lastModifiedBy>
  <dcterms:created xsi:type="dcterms:W3CDTF">1996-10-14T23:33:28Z</dcterms:created>
  <dcterms:modified xsi:type="dcterms:W3CDTF">2024-08-12T16:32:27Z</dcterms:modified>
</cp:coreProperties>
</file>